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hidePivotFieldList="1"/>
  <mc:AlternateContent xmlns:mc="http://schemas.openxmlformats.org/markup-compatibility/2006">
    <mc:Choice Requires="x15">
      <x15ac:absPath xmlns:x15ac="http://schemas.microsoft.com/office/spreadsheetml/2010/11/ac" url="L:\International\US Loans\Master documents\"/>
    </mc:Choice>
  </mc:AlternateContent>
  <xr:revisionPtr revIDLastSave="0" documentId="13_ncr:1_{63E20477-2CA3-42AB-871C-04463389CD1B}" xr6:coauthVersionLast="47" xr6:coauthVersionMax="47" xr10:uidLastSave="{00000000-0000-0000-0000-000000000000}"/>
  <bookViews>
    <workbookView xWindow="-108" yWindow="-108" windowWidth="23256" windowHeight="12576" firstSheet="1" activeTab="1" xr2:uid="{00000000-000D-0000-FFFF-FFFF00000000}"/>
  </bookViews>
  <sheets>
    <sheet name="Introduction" sheetId="11" state="hidden" r:id="rId1"/>
    <sheet name="Cost of Attendance" sheetId="1" r:id="rId2"/>
    <sheet name="School DATA" sheetId="14" state="hidden" r:id="rId3"/>
    <sheet name="Visa Letter" sheetId="10" r:id="rId4"/>
    <sheet name="Checklist" sheetId="4" state="hidden" r:id="rId5"/>
    <sheet name="Basis of Costs" sheetId="12" state="hidden" r:id="rId6"/>
    <sheet name="Private Loan Letter" sheetId="13" state="hidden" r:id="rId7"/>
    <sheet name="Compatibility Report" sheetId="15" state="hidden" r:id="rId8"/>
  </sheets>
  <definedNames>
    <definedName name="_xlnm._FilterDatabase" localSheetId="1" hidden="1">'Cost of Attendance'!$J$9:$J$10</definedName>
    <definedName name="_xlnm._FilterDatabase" localSheetId="2" hidden="1">'School DATA'!#REF!</definedName>
    <definedName name="_xlnm.Print_Area" localSheetId="1">'Cost of Attendance'!$A$1:$F$94</definedName>
    <definedName name="_xlnm.Print_Area" localSheetId="3">'Visa Letter'!$A$1:$I$63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4" l="1"/>
  <c r="D9" i="1" s="1"/>
  <c r="M43" i="1"/>
  <c r="M44" i="1"/>
  <c r="M45" i="1"/>
  <c r="I49" i="1"/>
  <c r="I50" i="1"/>
  <c r="I51" i="1"/>
  <c r="I52" i="1"/>
  <c r="L51" i="1"/>
  <c r="M51" i="1"/>
  <c r="G24" i="1"/>
  <c r="G25" i="1"/>
  <c r="G26" i="1"/>
  <c r="L52" i="1"/>
  <c r="M52" i="1"/>
  <c r="N52" i="1" s="1"/>
  <c r="O52" i="1" s="1"/>
  <c r="B82" i="1" s="1"/>
  <c r="B91" i="1" s="1"/>
  <c r="H24" i="1"/>
  <c r="I24" i="1"/>
  <c r="H25" i="1"/>
  <c r="I25" i="1"/>
  <c r="H26" i="1"/>
  <c r="I26" i="1"/>
  <c r="I81" i="1"/>
  <c r="J81" i="1"/>
  <c r="L53" i="1"/>
  <c r="M53" i="1"/>
  <c r="A1" i="13"/>
  <c r="A2" i="13"/>
  <c r="A3" i="13"/>
  <c r="A4" i="13"/>
  <c r="A5" i="13"/>
  <c r="A6" i="13"/>
  <c r="C4" i="1"/>
  <c r="A12" i="13" s="1"/>
  <c r="B17" i="13"/>
  <c r="B18" i="13"/>
  <c r="B19" i="13"/>
  <c r="J13" i="1"/>
  <c r="B27" i="13" s="1"/>
  <c r="J14" i="1"/>
  <c r="B30" i="10" s="1"/>
  <c r="B28" i="13"/>
  <c r="B40" i="1"/>
  <c r="B41" i="1"/>
  <c r="B42" i="1"/>
  <c r="B43" i="1"/>
  <c r="B44" i="1"/>
  <c r="B45" i="1"/>
  <c r="J7" i="14"/>
  <c r="M13" i="1"/>
  <c r="A34" i="13" s="1"/>
  <c r="A44" i="13"/>
  <c r="A45" i="13"/>
  <c r="A46" i="13"/>
  <c r="A47" i="13"/>
  <c r="B52" i="13"/>
  <c r="C56" i="14"/>
  <c r="C57" i="14" s="1"/>
  <c r="E7" i="14"/>
  <c r="D56" i="14" s="1"/>
  <c r="D57" i="14"/>
  <c r="C7" i="4"/>
  <c r="C8" i="4"/>
  <c r="C9" i="4"/>
  <c r="C10" i="4"/>
  <c r="C11" i="4"/>
  <c r="C12" i="4"/>
  <c r="A17" i="4"/>
  <c r="A18" i="4"/>
  <c r="C18" i="4"/>
  <c r="C21" i="4"/>
  <c r="A23" i="4"/>
  <c r="C23" i="4"/>
  <c r="A24" i="4"/>
  <c r="C24" i="4"/>
  <c r="C27" i="4"/>
  <c r="C28" i="4"/>
  <c r="A1" i="10"/>
  <c r="A2" i="10"/>
  <c r="A3" i="10"/>
  <c r="A4" i="10"/>
  <c r="A5" i="10"/>
  <c r="A6" i="10"/>
  <c r="A12" i="10"/>
  <c r="B17" i="10"/>
  <c r="B18" i="10"/>
  <c r="B19" i="10"/>
  <c r="M14" i="1"/>
  <c r="A42" i="10" s="1"/>
  <c r="M15" i="1"/>
  <c r="A43" i="10" s="1"/>
  <c r="M16" i="1"/>
  <c r="N16" i="1" s="1"/>
  <c r="B44" i="10" s="1"/>
  <c r="J15" i="1"/>
  <c r="A52" i="10"/>
  <c r="A53" i="10"/>
  <c r="A54" i="10"/>
  <c r="A55" i="10"/>
  <c r="B60" i="10"/>
  <c r="I11" i="14"/>
  <c r="M41" i="1" s="1"/>
  <c r="I13" i="14"/>
  <c r="M42" i="1" s="1"/>
  <c r="I16" i="14"/>
  <c r="E18" i="14"/>
  <c r="E22" i="14" s="1"/>
  <c r="E19" i="14"/>
  <c r="I19" i="14"/>
  <c r="M46" i="1" s="1"/>
  <c r="E20" i="14"/>
  <c r="E21" i="14"/>
  <c r="I22" i="14"/>
  <c r="M47" i="1" s="1"/>
  <c r="E23" i="14"/>
  <c r="I25" i="14"/>
  <c r="D41" i="14"/>
  <c r="I42" i="14"/>
  <c r="J42" i="14"/>
  <c r="D10" i="1"/>
  <c r="J41" i="1" s="1"/>
  <c r="J42" i="1" s="1"/>
  <c r="J43" i="1" s="1"/>
  <c r="J44" i="1" s="1"/>
  <c r="J45" i="1" s="1"/>
  <c r="G23" i="1"/>
  <c r="G28" i="1" s="1"/>
  <c r="K61" i="1" s="1"/>
  <c r="H23" i="1"/>
  <c r="I23" i="1"/>
  <c r="G27" i="1"/>
  <c r="H27" i="1"/>
  <c r="I27" i="1"/>
  <c r="K27" i="1"/>
  <c r="L27" i="1"/>
  <c r="M27" i="1"/>
  <c r="B30" i="1"/>
  <c r="C30" i="1"/>
  <c r="B31" i="1"/>
  <c r="E31" i="1"/>
  <c r="E32" i="1"/>
  <c r="I32" i="1"/>
  <c r="B33" i="1"/>
  <c r="C33" i="1"/>
  <c r="E33" i="1"/>
  <c r="I33" i="1"/>
  <c r="A34" i="1"/>
  <c r="E34" i="1"/>
  <c r="I34" i="1"/>
  <c r="A35" i="1"/>
  <c r="C35" i="1"/>
  <c r="I35" i="1"/>
  <c r="C36" i="1"/>
  <c r="I36" i="1"/>
  <c r="C46" i="1"/>
  <c r="D46" i="1"/>
  <c r="C47" i="1"/>
  <c r="C48" i="1"/>
  <c r="C49" i="1"/>
  <c r="C50" i="1"/>
  <c r="C51" i="1"/>
  <c r="C52" i="1"/>
  <c r="C53" i="1"/>
  <c r="C54" i="1"/>
  <c r="C55" i="1"/>
  <c r="C56" i="1"/>
  <c r="C57" i="1"/>
  <c r="C58" i="1"/>
  <c r="K59" i="1"/>
  <c r="D67" i="1"/>
  <c r="C68" i="1"/>
  <c r="J76" i="1"/>
  <c r="G79" i="1" s="1"/>
  <c r="C79" i="1"/>
  <c r="N53" i="1"/>
  <c r="O53" i="1" s="1"/>
  <c r="B84" i="1" s="1"/>
  <c r="B92" i="1" s="1"/>
  <c r="N51" i="1"/>
  <c r="O51" i="1" s="1"/>
  <c r="B81" i="1" s="1"/>
  <c r="B90" i="1" s="1"/>
  <c r="K41" i="1" l="1"/>
  <c r="K42" i="1" s="1"/>
  <c r="K43" i="1" s="1"/>
  <c r="K44" i="1" s="1"/>
  <c r="K45" i="1" s="1"/>
  <c r="E57" i="14"/>
  <c r="E56" i="14"/>
  <c r="I28" i="1"/>
  <c r="I54" i="1"/>
  <c r="E67" i="1" s="1"/>
  <c r="A45" i="1"/>
  <c r="C70" i="1" s="1"/>
  <c r="C81" i="1" s="1"/>
  <c r="C90" i="1" s="1"/>
  <c r="H44" i="14"/>
  <c r="D7" i="1" s="1"/>
  <c r="G49" i="1" s="1"/>
  <c r="G50" i="1" s="1"/>
  <c r="G51" i="1" s="1"/>
  <c r="G52" i="1" s="1"/>
  <c r="G53" i="1" s="1"/>
  <c r="G54" i="1" s="1"/>
  <c r="A44" i="10"/>
  <c r="H70" i="1"/>
  <c r="C88" i="1"/>
  <c r="C84" i="1"/>
  <c r="C92" i="1" s="1"/>
  <c r="C91" i="1"/>
  <c r="J16" i="14"/>
  <c r="L13" i="1"/>
  <c r="A41" i="10"/>
  <c r="H81" i="1"/>
  <c r="G81" i="1" s="1"/>
  <c r="G41" i="1"/>
  <c r="G42" i="1"/>
  <c r="J16" i="1"/>
  <c r="E25" i="14"/>
  <c r="B29" i="10"/>
  <c r="E24" i="14"/>
  <c r="D57" i="1" l="1"/>
  <c r="G32" i="1"/>
  <c r="G33" i="1" s="1"/>
  <c r="E45" i="1"/>
  <c r="C73" i="1"/>
  <c r="C71" i="1"/>
  <c r="H46" i="14"/>
  <c r="H47" i="14" s="1"/>
  <c r="C75" i="1"/>
  <c r="G91" i="1"/>
  <c r="A83" i="1" s="1"/>
  <c r="D74" i="1"/>
  <c r="C74" i="1"/>
  <c r="C83" i="1"/>
  <c r="G43" i="1"/>
  <c r="L41" i="1" l="1"/>
  <c r="L42" i="1" s="1"/>
  <c r="H32" i="1"/>
  <c r="H60" i="1" s="1"/>
  <c r="D47" i="1" s="1"/>
  <c r="H91" i="1"/>
  <c r="E83" i="1" s="1"/>
  <c r="H48" i="14"/>
  <c r="H49" i="14" s="1"/>
  <c r="H50" i="14" s="1"/>
  <c r="H6" i="1" s="1"/>
  <c r="H33" i="1"/>
  <c r="G34" i="1"/>
  <c r="I41" i="1"/>
  <c r="D83" i="1"/>
  <c r="G44" i="1"/>
  <c r="H41" i="1" l="1"/>
  <c r="H61" i="1" s="1"/>
  <c r="D48" i="1" s="1"/>
  <c r="H5" i="1"/>
  <c r="L43" i="1"/>
  <c r="I42" i="1"/>
  <c r="H42" i="1"/>
  <c r="H62" i="1" s="1"/>
  <c r="D49" i="1" s="1"/>
  <c r="G36" i="1"/>
  <c r="H36" i="1" s="1"/>
  <c r="G35" i="1"/>
  <c r="H35" i="1" s="1"/>
  <c r="H34" i="1"/>
  <c r="G45" i="1"/>
  <c r="I37" i="1" l="1"/>
  <c r="H68" i="1" s="1"/>
  <c r="D55" i="1" s="1"/>
  <c r="L44" i="1"/>
  <c r="I43" i="1"/>
  <c r="H43" i="1"/>
  <c r="H63" i="1" s="1"/>
  <c r="D50" i="1" s="1"/>
  <c r="I44" i="1" l="1"/>
  <c r="L45" i="1"/>
  <c r="H44" i="1"/>
  <c r="H64" i="1" s="1"/>
  <c r="D51" i="1" s="1"/>
  <c r="L46" i="1" l="1"/>
  <c r="I45" i="1"/>
  <c r="H45" i="1"/>
  <c r="H65" i="1" s="1"/>
  <c r="D52" i="1" s="1"/>
  <c r="L47" i="1" l="1"/>
  <c r="K47" i="1" s="1"/>
  <c r="K46" i="1"/>
  <c r="H66" i="1" l="1"/>
  <c r="D53" i="1" s="1"/>
  <c r="H67" i="1" l="1"/>
  <c r="H69" i="1" s="1"/>
  <c r="D54" i="1" l="1"/>
  <c r="C78" i="1"/>
  <c r="C77" i="1"/>
  <c r="D56" i="1"/>
  <c r="G78" i="1"/>
  <c r="C72" i="1" s="1"/>
  <c r="H71" i="1"/>
  <c r="K58" i="1" l="1"/>
  <c r="K60" i="1" s="1"/>
  <c r="D58" i="1"/>
  <c r="K62" i="1" l="1"/>
  <c r="G89" i="1" l="1"/>
  <c r="H76" i="1"/>
  <c r="L65" i="1"/>
  <c r="N60" i="1"/>
  <c r="D70" i="1" l="1"/>
  <c r="E70" i="1"/>
  <c r="M62" i="1"/>
  <c r="L64" i="1" s="1"/>
  <c r="L66" i="1" s="1"/>
  <c r="H89" i="1"/>
  <c r="A81" i="1"/>
  <c r="D81" i="1" s="1"/>
  <c r="G90" i="1" l="1"/>
  <c r="H77" i="1"/>
  <c r="N64" i="1"/>
  <c r="K71" i="1"/>
  <c r="B35" i="10"/>
  <c r="E81" i="1"/>
  <c r="F84" i="1"/>
  <c r="M66" i="1" l="1"/>
  <c r="K69" i="1" s="1"/>
  <c r="E71" i="1"/>
  <c r="D71" i="1"/>
  <c r="A82" i="1"/>
  <c r="D82" i="1" s="1"/>
  <c r="H90" i="1"/>
  <c r="B36" i="10" l="1"/>
  <c r="F85" i="1"/>
  <c r="E82" i="1"/>
  <c r="H79" i="1"/>
  <c r="K73" i="1"/>
  <c r="G92" i="1" s="1"/>
  <c r="H92" i="1" l="1"/>
  <c r="H93" i="1" s="1"/>
  <c r="A84" i="1"/>
  <c r="D84" i="1" s="1"/>
  <c r="G93" i="1"/>
  <c r="A85" i="1" s="1"/>
  <c r="D73" i="1"/>
  <c r="H82" i="1"/>
  <c r="D75" i="1" s="1"/>
  <c r="E84" i="1" l="1"/>
  <c r="E85" i="1" s="1"/>
  <c r="B37" i="10"/>
  <c r="F86" i="1"/>
  <c r="D85" i="1"/>
  <c r="N13" i="1" l="1"/>
  <c r="N14" i="1"/>
  <c r="B42" i="10" s="1"/>
  <c r="B38" i="10"/>
  <c r="F87" i="1"/>
  <c r="C86" i="1"/>
  <c r="N15" i="1"/>
  <c r="B43" i="10" s="1"/>
  <c r="C87" i="1"/>
  <c r="E88" i="1"/>
  <c r="B31" i="13"/>
  <c r="B34" i="13" s="1"/>
  <c r="B38" i="13" s="1"/>
  <c r="N17" i="1" l="1"/>
  <c r="B41" i="10"/>
  <c r="B45" i="10" s="1"/>
  <c r="B46" i="10" s="1"/>
</calcChain>
</file>

<file path=xl/sharedStrings.xml><?xml version="1.0" encoding="utf-8"?>
<sst xmlns="http://schemas.openxmlformats.org/spreadsheetml/2006/main" count="548" uniqueCount="465">
  <si>
    <t>What is you EFC (top right of front page of SAR) Even zero must be entered</t>
  </si>
  <si>
    <t>Room - Rent</t>
  </si>
  <si>
    <t>Personal</t>
  </si>
  <si>
    <t>Books &amp; Copying</t>
  </si>
  <si>
    <t>Y</t>
  </si>
  <si>
    <t>N</t>
  </si>
  <si>
    <t>Application/Student Number</t>
  </si>
  <si>
    <t>Board - Food and Power</t>
  </si>
  <si>
    <t>Sub</t>
  </si>
  <si>
    <t>postgraduates</t>
  </si>
  <si>
    <t>Undergraduate1</t>
  </si>
  <si>
    <t>Undergraduate2</t>
  </si>
  <si>
    <t>Actual Loans</t>
  </si>
  <si>
    <t xml:space="preserve">Convert £ </t>
  </si>
  <si>
    <t>Already $</t>
  </si>
  <si>
    <t>Fees</t>
  </si>
  <si>
    <t>Sponsors</t>
  </si>
  <si>
    <t>School Aid</t>
  </si>
  <si>
    <t>UG Weeks</t>
  </si>
  <si>
    <t>Choice</t>
  </si>
  <si>
    <t>Year</t>
  </si>
  <si>
    <t>Undergraduate&gt;2</t>
  </si>
  <si>
    <t>Max CoA before Interview</t>
  </si>
  <si>
    <t>Cost of Attendance</t>
  </si>
  <si>
    <t>&amp; Loan Calculation</t>
  </si>
  <si>
    <t>$</t>
  </si>
  <si>
    <t>Tuition Fees</t>
  </si>
  <si>
    <t>Room</t>
  </si>
  <si>
    <t>Board</t>
  </si>
  <si>
    <t>Books</t>
  </si>
  <si>
    <t>Travel</t>
  </si>
  <si>
    <t>PG Weeke</t>
  </si>
  <si>
    <t>UG Costs</t>
  </si>
  <si>
    <t>PG Costs</t>
  </si>
  <si>
    <t>Max Loan Available</t>
  </si>
  <si>
    <t>Unsubsudised</t>
  </si>
  <si>
    <t>Total Cost of Attendance</t>
  </si>
  <si>
    <t>No of Weeks for Undergraduates</t>
  </si>
  <si>
    <t>No of Weeks for Postrgraduates</t>
  </si>
  <si>
    <t>Rate</t>
  </si>
  <si>
    <t>Unsub Depend</t>
  </si>
  <si>
    <t>Unsub Ind</t>
  </si>
  <si>
    <t>Deduct from "Need"</t>
  </si>
  <si>
    <t>Other Aid £UK</t>
  </si>
  <si>
    <t>Other Aid $USA</t>
  </si>
  <si>
    <t>STANDING DATA</t>
  </si>
  <si>
    <t>CoA</t>
  </si>
  <si>
    <t>Less EFC</t>
  </si>
  <si>
    <t>Sub Calc</t>
  </si>
  <si>
    <t>Unsub Calc</t>
  </si>
  <si>
    <t>Need for Sub</t>
  </si>
  <si>
    <t>SUB NEED</t>
  </si>
  <si>
    <t>UNSUB NEED</t>
  </si>
  <si>
    <t>Unsub available</t>
  </si>
  <si>
    <t>Need for Unsub</t>
  </si>
  <si>
    <t>PLUS Calc</t>
  </si>
  <si>
    <t>Subsidised - Adjusted by EFC</t>
  </si>
  <si>
    <t>Adjust for Sponsorship, Awards or other Aid</t>
  </si>
  <si>
    <t>n</t>
  </si>
  <si>
    <t>OK Statement</t>
  </si>
  <si>
    <t>Qualify 1</t>
  </si>
  <si>
    <t>Qualify 2</t>
  </si>
  <si>
    <t>I</t>
  </si>
  <si>
    <t>D</t>
  </si>
  <si>
    <t>Depend</t>
  </si>
  <si>
    <t>Address Line 1</t>
  </si>
  <si>
    <t>Address Line 2</t>
  </si>
  <si>
    <t>Address Line 3</t>
  </si>
  <si>
    <t>Address Line 4</t>
  </si>
  <si>
    <t>Zipcode / Postcode</t>
  </si>
  <si>
    <t>Email</t>
  </si>
  <si>
    <t>Date of Birth dd/mm/yyyy</t>
  </si>
  <si>
    <t>Full Social Security Number</t>
  </si>
  <si>
    <t>Family Name (Surname)</t>
  </si>
  <si>
    <t>THE COSTS YOU HAVE SUGGESTED ARE TOO HIGH TO BE ACCEPTABLE</t>
  </si>
  <si>
    <t>Subsidised</t>
  </si>
  <si>
    <t>You are allowed to borrow up to the values above</t>
  </si>
  <si>
    <t>Total</t>
  </si>
  <si>
    <t>Origination Fees</t>
  </si>
  <si>
    <t>Loan Type</t>
  </si>
  <si>
    <t>% Rate</t>
  </si>
  <si>
    <t>Loan Dates</t>
  </si>
  <si>
    <t>Undergrads</t>
  </si>
  <si>
    <t>Start</t>
  </si>
  <si>
    <t>End</t>
  </si>
  <si>
    <t>Postgrads</t>
  </si>
  <si>
    <t>Disburse Dates</t>
  </si>
  <si>
    <t>Please put Y or N in the response box for each question</t>
  </si>
  <si>
    <t>Checklist for Direct List Loan Applications</t>
  </si>
  <si>
    <t>Response</t>
  </si>
  <si>
    <t>Provide evidence of your needs for any increase to  PLUS to be considered or borrow less in Section 6</t>
  </si>
  <si>
    <t>After Origination Fees You Get</t>
  </si>
  <si>
    <t>What does your SAR say for "dependancy status" Only answer I or D</t>
  </si>
  <si>
    <t>School Comments</t>
  </si>
  <si>
    <t>Only Y or N</t>
  </si>
  <si>
    <t>Have you attached your Stafford MPN</t>
  </si>
  <si>
    <t>Have you applied for a PLUS Loan</t>
  </si>
  <si>
    <t>Selective Service</t>
  </si>
  <si>
    <t>Promissory Notes</t>
  </si>
  <si>
    <t>Entrance Counselling</t>
  </si>
  <si>
    <t>Have you attached your entrance counselling completion</t>
  </si>
  <si>
    <t>Allowed</t>
  </si>
  <si>
    <t>Notification of Student Loan</t>
  </si>
  <si>
    <t xml:space="preserve">This is to certify that </t>
  </si>
  <si>
    <t>Student Name</t>
  </si>
  <si>
    <t>Date of Birth (dd/mm/yyyy)</t>
  </si>
  <si>
    <t>Student/Applicant ID</t>
  </si>
  <si>
    <t>has been accepted in a degree-granting program (or otherwise eligible program) at our school.</t>
  </si>
  <si>
    <t xml:space="preserve">Eligible students from the U.S. who attend our school may borrow through the Direct Loan Program. </t>
  </si>
  <si>
    <t>Undergraduate students and graduate/professional students may receive Direct Subsidized Loans and Direct Unsubsidized Loans.</t>
  </si>
  <si>
    <t xml:space="preserve">Graduate/professional students and parents may receive Direct PLUS Loans. </t>
  </si>
  <si>
    <t>Based on our calculation of the student’s financial needs and Direct Loan eligibility for the loan period</t>
  </si>
  <si>
    <t>Start Date</t>
  </si>
  <si>
    <t>End Date</t>
  </si>
  <si>
    <t>Loan Amount</t>
  </si>
  <si>
    <t>Direct Subsidized Loan</t>
  </si>
  <si>
    <t>Direct Unsubsidized Loan</t>
  </si>
  <si>
    <t>Direct PLUS Loan</t>
  </si>
  <si>
    <t>The disbursement dates are as follows:</t>
  </si>
  <si>
    <t>This certificate is only valid</t>
  </si>
  <si>
    <t>by the person whose initials are ringed below</t>
  </si>
  <si>
    <t>and stamped by the Office stamp</t>
  </si>
  <si>
    <t>line 1</t>
  </si>
  <si>
    <t>line 2</t>
  </si>
  <si>
    <t>line 3</t>
  </si>
  <si>
    <t>line 4</t>
  </si>
  <si>
    <t>123 45 6789</t>
  </si>
  <si>
    <t>a. To make the process as speedy and as simple as possible</t>
  </si>
  <si>
    <t>b. To cut out the risk of your application being rejected and you having to start again</t>
  </si>
  <si>
    <t>There is nothing which tells the applicant that everything they need to do has been completed.</t>
  </si>
  <si>
    <t>There is nothing which tells the school that everything the applicant needs to do has been completed.</t>
  </si>
  <si>
    <t>You should also use the flowchart from our website to see the order in which you need to do each stage of your application</t>
  </si>
  <si>
    <t>5. It tells you how much of your loan will be retained by the government as origination fee</t>
  </si>
  <si>
    <t>6. It calculates the cost of the originations fees and increases the PLUS loan to cover them</t>
  </si>
  <si>
    <t>The default setting is "N"</t>
  </si>
  <si>
    <t>Date Issued</t>
  </si>
  <si>
    <t>If there are no school comments then we have sufficient information to start the origination process. If anything is missing or incorrect, then we cannot originate your loans.</t>
  </si>
  <si>
    <t>This spreadsheet is to help you and us</t>
  </si>
  <si>
    <r>
      <t>We participate in the William D. Ford Federal Direct Loan (Direct Loan) Program administered by the United States (U.S.) Department of Education</t>
    </r>
    <r>
      <rPr>
        <i/>
        <sz val="12"/>
        <rFont val="Times New Roman"/>
        <family val="1"/>
      </rPr>
      <t>.</t>
    </r>
    <r>
      <rPr>
        <sz val="12"/>
        <rFont val="Times New Roman"/>
        <family val="1"/>
      </rPr>
      <t xml:space="preserve"> </t>
    </r>
  </si>
  <si>
    <t>Max Loans Allowed Adjusted for Fees</t>
  </si>
  <si>
    <t>Max Loan after grossing up for Fees adjustments</t>
  </si>
  <si>
    <t>Are you female</t>
  </si>
  <si>
    <t>put 2nd date</t>
  </si>
  <si>
    <t>put 3rd date or blank</t>
  </si>
  <si>
    <t>put 4th date or blank</t>
  </si>
  <si>
    <t>ONLY ENTER DATES</t>
  </si>
  <si>
    <t>VALUES ARE AUTOMATIC</t>
  </si>
  <si>
    <t>Cost of Attendance - How to use this spreadsheet</t>
  </si>
  <si>
    <t>Exchange Rate</t>
  </si>
  <si>
    <t>The cost of a single course pack (for the term) applied for each week which is more than sufficient for book purchase.</t>
  </si>
  <si>
    <t>2 return flights</t>
  </si>
  <si>
    <t>PC</t>
  </si>
  <si>
    <t>Visa application</t>
  </si>
  <si>
    <t>PLUS Loan</t>
  </si>
  <si>
    <t>If anything on the checklist is missing we will not be able to start to process your application</t>
  </si>
  <si>
    <t>How these Costs are Calculated</t>
  </si>
  <si>
    <t>Year Dates</t>
  </si>
  <si>
    <t>These dates are set to minimise the risk of your loan being rejected by overlapping a previous year.</t>
  </si>
  <si>
    <t>Disbursement Dates</t>
  </si>
  <si>
    <t>WARNING - THESE DATES ARE EXPECTED AND NOT ACTUAL. Allow for about 3 days delay - just in case.</t>
  </si>
  <si>
    <t>Interest</t>
  </si>
  <si>
    <t>Rebate</t>
  </si>
  <si>
    <t>Actual</t>
  </si>
  <si>
    <t>Factor</t>
  </si>
  <si>
    <t>Total (after rounding, may be slightly higher than total of section 4)</t>
  </si>
  <si>
    <t>It is used to help you and the school in several ways</t>
  </si>
  <si>
    <t>Government Fees *** Deducted</t>
  </si>
  <si>
    <t>SCHOOL COMMENT ON YOUR PROPOSED COSTS &amp; ELIGIBLE LOANS</t>
  </si>
  <si>
    <t>4. it tells you whether the school will accept the costs you have proposed (Section 5)</t>
  </si>
  <si>
    <t>1. you tell us what we need to know about you before we can start to process your application (Section 1)</t>
  </si>
  <si>
    <t>Final</t>
  </si>
  <si>
    <t>Next review date for Exchange Rate</t>
  </si>
  <si>
    <t>The balance of the cost of attendance after Sub &amp; Unsub and grossed up to include Origination Fee  on Sub &amp; Unsub added to PLUS loan needs and then increased again to include the origination fee charged on PLUS Loans as quoted on Direct Lending website, and reduced by any rebate offered by USDE. This ensures that the cash you receive, after foreign exchange and deduction of origination fees, is the sterling cost of attendance.</t>
  </si>
  <si>
    <t>6. you tell us how much you want to borrow (Section 6) You adjust the figures shown in blue</t>
  </si>
  <si>
    <t>Total Eligible before adjustment for Fees</t>
  </si>
  <si>
    <t>MAXIMUM LOAN LEVELS AVAILABLE</t>
  </si>
  <si>
    <t>CONVERTING FEES AND CONTRIBUTIONS TO DOLLARS</t>
  </si>
  <si>
    <t>CONVERTING WEEKLY COSTS TO DOLLARS</t>
  </si>
  <si>
    <t>PLUS NEED</t>
  </si>
  <si>
    <t>Need for PLUS</t>
  </si>
  <si>
    <t>PLUS Available</t>
  </si>
  <si>
    <t>Sub available</t>
  </si>
  <si>
    <t>ORIG FEE INC</t>
  </si>
  <si>
    <t>Sub Orig Fee</t>
  </si>
  <si>
    <t>Unsub Orig Fee</t>
  </si>
  <si>
    <t>PLUS Orig fee</t>
  </si>
  <si>
    <t>DISBURSEMENTS</t>
  </si>
  <si>
    <t>ORIG FEE NOT INC</t>
  </si>
  <si>
    <t>Government Fees</t>
  </si>
  <si>
    <t xml:space="preserve">Your government takes an origination fee. </t>
  </si>
  <si>
    <t>If those repayments are not all on-time then the refund which was given to you will be charged back to you</t>
  </si>
  <si>
    <t>State how much you would like to borrow for each loan type - adjust the figures in blue in the "Your Request" column</t>
  </si>
  <si>
    <t xml:space="preserve">Eligible students from the U.S. who attend our school may borrow private loans through Sallie Mae. </t>
  </si>
  <si>
    <t>We have certified a loan with Sallie Mae as follows:</t>
  </si>
  <si>
    <t>Sallie Mae Smart Loan</t>
  </si>
  <si>
    <t>postcode/zipcode</t>
  </si>
  <si>
    <t>email address</t>
  </si>
  <si>
    <t>RETAIL (Main Street) RATE - NOT INTERBANK RATE</t>
  </si>
  <si>
    <t xml:space="preserve">Bank 1 </t>
  </si>
  <si>
    <t>Commission %</t>
  </si>
  <si>
    <t>Bank Number</t>
  </si>
  <si>
    <t>Bank 2</t>
  </si>
  <si>
    <t>Bank 3</t>
  </si>
  <si>
    <t>Bank 4</t>
  </si>
  <si>
    <t>Bank 5</t>
  </si>
  <si>
    <t>Bank 6</t>
  </si>
  <si>
    <t>Bank 7</t>
  </si>
  <si>
    <t>Bank 8</t>
  </si>
  <si>
    <t>Bank 9</t>
  </si>
  <si>
    <t>Bank 10</t>
  </si>
  <si>
    <t>Subsidised Loans</t>
  </si>
  <si>
    <t>Unsubsidised Loans</t>
  </si>
  <si>
    <t>PLUS Loans</t>
  </si>
  <si>
    <t>Origination Fee %</t>
  </si>
  <si>
    <t>Rebate %</t>
  </si>
  <si>
    <t>Which Academic Year is this</t>
  </si>
  <si>
    <t>Start day of the year</t>
  </si>
  <si>
    <t>When do think your undergraduates start to arrive (occupy their bedroom)</t>
  </si>
  <si>
    <t>Complete these dates</t>
  </si>
  <si>
    <t>What will be the dates your students get their disbursements</t>
  </si>
  <si>
    <t>Only put in the date against each term</t>
  </si>
  <si>
    <t>Term 1 [could be autumn or 1st semester]</t>
  </si>
  <si>
    <t>Term 3 [could be summer - after Easter]</t>
  </si>
  <si>
    <t>Term 2 [could be spring - after Christmas - or 2nd semester]</t>
  </si>
  <si>
    <t>Term 4 [could be the writing up term after May/June exams if you have such a term]</t>
  </si>
  <si>
    <t>When did you do this</t>
  </si>
  <si>
    <t>Write in the date</t>
  </si>
  <si>
    <t>person 1</t>
  </si>
  <si>
    <t>person 2</t>
  </si>
  <si>
    <t>person 3</t>
  </si>
  <si>
    <t>person 4</t>
  </si>
  <si>
    <t>person 5</t>
  </si>
  <si>
    <t>person 6</t>
  </si>
  <si>
    <t>person 7</t>
  </si>
  <si>
    <t>person 8</t>
  </si>
  <si>
    <t>If any bank showed a commission rate then enter it against that bank</t>
  </si>
  <si>
    <t>Complete this Fee Estimate</t>
  </si>
  <si>
    <t>Be absolutely sure you are looking at the right year</t>
  </si>
  <si>
    <t>Year format yyyy/yy</t>
  </si>
  <si>
    <t>Complete these Cost Estimates which are PER WEEK</t>
  </si>
  <si>
    <t>What is the highest charge for your halls of residence per week</t>
  </si>
  <si>
    <t>Only put in the staff you authorise</t>
  </si>
  <si>
    <t>Do not put in initials where you don't have staff</t>
  </si>
  <si>
    <t>What is your best estimate for book buying or photocopying or course packs per week</t>
  </si>
  <si>
    <t>What is your best estimate at travel costs for the area for a week</t>
  </si>
  <si>
    <t>What is your best estimate at the high-end going rate for a room per week in the area</t>
  </si>
  <si>
    <t>Your dates in COD might be earlier [to allow processing time]</t>
  </si>
  <si>
    <t>Undergrad weeks</t>
  </si>
  <si>
    <t>Worst case rates</t>
  </si>
  <si>
    <t>Look up these costs on the web</t>
  </si>
  <si>
    <t>Have you entered on the Cost of Attendance how much you wish to borrow (Section 6)</t>
  </si>
  <si>
    <t>Have you entered your name and full address on the  Cost of Attendance</t>
  </si>
  <si>
    <t>Have you entered your SSN on the  Cost of Attendance</t>
  </si>
  <si>
    <t>Have you correctly entered your email address on the  Cost of Attendance</t>
  </si>
  <si>
    <t>Have you entered the EFC from your SAR on the  Cost of Attendance</t>
  </si>
  <si>
    <t>Have you entered your tuition fees on the  Cost of Attendance</t>
  </si>
  <si>
    <t>SCHOOL INFORMATION</t>
  </si>
  <si>
    <t>MONEY INFORMATION</t>
  </si>
  <si>
    <r>
      <t xml:space="preserve">What is the date of your last Bachelors' graduation ceremony </t>
    </r>
    <r>
      <rPr>
        <b/>
        <u/>
        <sz val="10"/>
        <color indexed="10"/>
        <rFont val="Times New Roman"/>
        <family val="1"/>
      </rPr>
      <t>in the summer</t>
    </r>
    <r>
      <rPr>
        <sz val="10"/>
        <color indexed="10"/>
        <rFont val="Times New Roman"/>
        <family val="1"/>
      </rPr>
      <t xml:space="preserve"> </t>
    </r>
  </si>
  <si>
    <t>AND/OR</t>
  </si>
  <si>
    <t>official end of summer term - ONLY if earlier</t>
  </si>
  <si>
    <t>You must also complete the Checklist</t>
  </si>
  <si>
    <r>
      <t xml:space="preserve">The checklist helps you ensure that everything needed has been completed for us to process your application; </t>
    </r>
    <r>
      <rPr>
        <b/>
        <u/>
        <sz val="10"/>
        <color indexed="10"/>
        <rFont val="Times New Roman"/>
        <family val="1"/>
      </rPr>
      <t>without it nothing can be processed</t>
    </r>
  </si>
  <si>
    <t>The checklist will tell you the consequence of anything missing</t>
  </si>
  <si>
    <t>If anything is missing or incomplete, your application will be rejected.</t>
  </si>
  <si>
    <r>
      <t xml:space="preserve">When we will receive this spreadsheet - </t>
    </r>
    <r>
      <rPr>
        <b/>
        <u/>
        <sz val="10"/>
        <color indexed="10"/>
        <rFont val="Times New Roman"/>
        <family val="1"/>
      </rPr>
      <t>and ALL the required attachments</t>
    </r>
    <r>
      <rPr>
        <b/>
        <sz val="10"/>
        <color indexed="12"/>
        <rFont val="Times New Roman"/>
        <family val="1"/>
      </rPr>
      <t xml:space="preserve"> - that is our trigger that you have done everything for us to start on your loan</t>
    </r>
  </si>
  <si>
    <t>For your information …</t>
  </si>
  <si>
    <t>3. it calculates how much you need and are eligible to borrow (Section 4)</t>
  </si>
  <si>
    <t>Information sent by the US Dept of Ed to schools also includes all those who may not apply or enroll.</t>
  </si>
  <si>
    <t>There are sets of documents which we have to receive before we can even start to certify or complete your loans</t>
  </si>
  <si>
    <t>The Basis of Costs tab shows you how we calculated the Cost of Attendance</t>
  </si>
  <si>
    <t>2. you can re-calculate your costs (Sections 2 &amp; 3) and if needed you can change our values shown in blue</t>
  </si>
  <si>
    <t>Worst combination goes to the CoA</t>
  </si>
  <si>
    <t>Worst Fee Rate</t>
  </si>
  <si>
    <t>What are the initials of your staff allowed to sign visa letters USE BLOCK CAPS</t>
  </si>
  <si>
    <t>which come from the US Dept of Education and are administered through this school.</t>
  </si>
  <si>
    <t xml:space="preserve"> the student (or, in some cases, the student’s parent) will receive the following Direct Loan awards</t>
  </si>
  <si>
    <t>When - long after the first disbursement - will you review the exchange rate</t>
  </si>
  <si>
    <t>What is your normal family shopping for a week and adjust for one adult</t>
  </si>
  <si>
    <t>Postgrad weeks</t>
  </si>
  <si>
    <t>Year 1</t>
  </si>
  <si>
    <t>Year 2</t>
  </si>
  <si>
    <t>Year 3</t>
  </si>
  <si>
    <t>Year 4</t>
  </si>
  <si>
    <t>Dependent Unsubsidised</t>
  </si>
  <si>
    <t>Independent Unsubsidised</t>
  </si>
  <si>
    <t>and inflated by 10%</t>
  </si>
  <si>
    <t>plus worst origination rates</t>
  </si>
  <si>
    <t>When did you complete this form</t>
  </si>
  <si>
    <t>This form and exchange rates revised</t>
  </si>
  <si>
    <t>Enter the Tuition Fees - only write the figures - don't type in the £ sign as it is already formatted</t>
  </si>
  <si>
    <t>Max Loans allowed before review</t>
  </si>
  <si>
    <t>COMPLETE THE YELLOW BOXES ONLY</t>
  </si>
  <si>
    <t>Private Loan</t>
  </si>
  <si>
    <t>Government Loan</t>
  </si>
  <si>
    <t>What is your best estimate for electricity/gas for a week (use our own home direct debits?)</t>
  </si>
  <si>
    <t>Do NOT put in a date where you don't have a disbursement</t>
  </si>
  <si>
    <t>FOR SCHOOL USE ONLY</t>
  </si>
  <si>
    <t>PG T1</t>
  </si>
  <si>
    <t>PG T2</t>
  </si>
  <si>
    <t>PG T3</t>
  </si>
  <si>
    <t>PG T4</t>
  </si>
  <si>
    <t xml:space="preserve"> the student will receive the following Private Loan awards:</t>
  </si>
  <si>
    <t>The School certifies the value of these loans and receives the disbursements to give to the student.</t>
  </si>
  <si>
    <t>First, Check the prices of all halls of residence and select the highest below self-contained suite. Second, search for the average price of a room in a shared flat and for a studio flat in the close area (use the web and general estate agent searches). Select the higher average price of the two scenarios.</t>
  </si>
  <si>
    <t>The Office Manager's 'pocket money' for a week</t>
  </si>
  <si>
    <t>Date of Birth</t>
  </si>
  <si>
    <t>To ensure that your application is as smooth as possible, you must complete the Cost of Attendance spreadsheet and the checklist</t>
  </si>
  <si>
    <t>It  will not be the school's decision to reject your application or to process your loan with things missing</t>
  </si>
  <si>
    <t>If anything on the checklist or spreadsheet is missing or untrue your application will be rejected by the ED Dept's systems</t>
  </si>
  <si>
    <t>What is your estimate for enough pocket money including beer/disco/movie/pizza per week</t>
  </si>
  <si>
    <t>School to Complete ONLY the yellow boxes</t>
  </si>
  <si>
    <t>Postgraduates - The loan year will be 365 days</t>
  </si>
  <si>
    <t>Do not write the name of any bank</t>
  </si>
  <si>
    <t>Visa costs plus cost of midweek return next day flight US New York to LA and rounded</t>
  </si>
  <si>
    <t>Academic Year Calculations</t>
  </si>
  <si>
    <t>Calculates max allowed before prroof of costs needed</t>
  </si>
  <si>
    <t>Calculates exchange rate for CoA</t>
  </si>
  <si>
    <t>Calculates school CoA</t>
  </si>
  <si>
    <t>Go to the banks near you and collect their exchange rates</t>
  </si>
  <si>
    <t>How much of the tuition fees will be paid to your school by a sponsor (only enter in the $ or £ box - not both)</t>
  </si>
  <si>
    <t>How much has been awarded by any other Scholarship or Financial Aid in the UK</t>
  </si>
  <si>
    <t>How much has been awarded by any other Scholarship or Financial Aid from the USA</t>
  </si>
  <si>
    <t>You must complete and send us the spreadsheet "Cost of Attendance" tab</t>
  </si>
  <si>
    <t>Given Name (Forename)</t>
  </si>
  <si>
    <t>Maximum Govt. Loan you can borrow</t>
  </si>
  <si>
    <t>3 or above</t>
  </si>
  <si>
    <t>Calculates gross loan to cash</t>
  </si>
  <si>
    <t>Loan values eligible</t>
  </si>
  <si>
    <t>The information in the FSA Handbook is confusing so use another site to confirm details</t>
  </si>
  <si>
    <t>Payment periods - terms</t>
  </si>
  <si>
    <t>Indep Undergrad Score</t>
  </si>
  <si>
    <t>MAXIMUM LOAN LEVELS FOR THIS STU</t>
  </si>
  <si>
    <t>Worst possible rate for Retail US Dollar Rate - best guess</t>
  </si>
  <si>
    <t>Full name of your course</t>
  </si>
  <si>
    <t>How much has already been awarded by this school as a Scholarship or Financial Aid</t>
  </si>
  <si>
    <t>Independent Undergraduates are not eligible for a PLUS Loan</t>
  </si>
  <si>
    <t>You could have borrowed these Govt. Loans</t>
  </si>
  <si>
    <t>Avg highest Tuition Fee charged in London for MSc</t>
  </si>
  <si>
    <t>Calculating fields for late starters - do not adjust these fields</t>
  </si>
  <si>
    <t>These are 15/16 - If you know levels have changed, go to the USDE website and find the loan levels for each type of student</t>
  </si>
  <si>
    <t>weeks</t>
  </si>
  <si>
    <t>PG</t>
  </si>
  <si>
    <t>UG</t>
  </si>
  <si>
    <t>The exchange rate is set by a review of High Street banks and selecting the worst possible rate and incrementing it by the worst possible commission. This is sufficient to enable loans to be calculated and originated. The rate will not be re-assessed until after the end of the registration period. Should the rate change unfavourably once the course has started, then the whole Cost of Attendance can be reviewed again. .</t>
  </si>
  <si>
    <t>There was a partial refund of the origination fee which has been withdrawn since 2012 entry</t>
  </si>
  <si>
    <t>Undergraduates - The loan year will be start of academic year to end of final term</t>
  </si>
  <si>
    <t>The transfer of funds from ED Dept to our UK bank and a refund for your living money takes a good 10 days.</t>
  </si>
  <si>
    <t>Rounding Difference</t>
  </si>
  <si>
    <t>If you are a starting later in the year, use the tab "late start Cost of Attendance"</t>
  </si>
  <si>
    <t>Undergraduate treated as Graduate PLUS Loan</t>
  </si>
  <si>
    <t>sub entitled, conditions are per cell</t>
  </si>
  <si>
    <t>inc BA, UG/PG, porev degree,yr</t>
  </si>
  <si>
    <t>but not dependency</t>
  </si>
  <si>
    <t>tot below is max</t>
  </si>
  <si>
    <t>MAX THIS STU</t>
  </si>
  <si>
    <t>midweek return flight for visa interview Los Angeles to New York</t>
  </si>
  <si>
    <t>2 midweek return flights with BA from Los Angeles to London</t>
  </si>
  <si>
    <t>Keep all shopping receipts for a month, This covers all the bills for a month for a normal household including alcohol, all household cleaning materials and all food etc. Divide the weekly average by 1 less than are in the household. This is more than enough to cover the food, provisions and power for a single person.</t>
  </si>
  <si>
    <t>cost of zone 1-2 London weekly travel card</t>
  </si>
  <si>
    <t>Cost of two BA return flights Heathrow/LA  travelling midweek</t>
  </si>
  <si>
    <t>Cost of a good quality laptop from a PC chainstore</t>
  </si>
  <si>
    <t>201700000</t>
  </si>
  <si>
    <t>Max Allowed Adjusted for Fees</t>
  </si>
  <si>
    <t>Your Request  -  you may only leave or reduce these values</t>
  </si>
  <si>
    <t>The exchange rate is deliberately high to allow for unforseen circumstances</t>
  </si>
  <si>
    <t>Worst case costs at selected or calculated exchange rate</t>
  </si>
  <si>
    <t>Calcs above/beside</t>
  </si>
  <si>
    <t>Is this course for a Bachelor degree such as BSc or BA? Only answer Y or N</t>
  </si>
  <si>
    <t>What will be your year of study - select from the dropbox only - WARNING: this must match your FAFSA &amp; SAR</t>
  </si>
  <si>
    <t>Does your course involve any time at another university or school, or campus? Only answer Y or N</t>
  </si>
  <si>
    <t>surname - family name</t>
  </si>
  <si>
    <t>forename - first name(s)</t>
  </si>
  <si>
    <t>Does your course - whole course, in any year - have any time in USA other than vacations? Only answer Y or N</t>
  </si>
  <si>
    <t>DON'T TOUCH THE BLUE BOXES - They are calculations which feed other parts of this workbook</t>
  </si>
  <si>
    <t>Powerful laptop and printer [15.6" Lenovo Ryzen 7 2TB - PC World April 2019]</t>
  </si>
  <si>
    <t>Manchester</t>
  </si>
  <si>
    <t>These are 01 Oct 2019 - https://ifap.ed.gov/eannouncements/053019FY20SequesterRequiredChangesTitleIVPrograms.html</t>
  </si>
  <si>
    <t>Rate from 1st Oct 2019</t>
  </si>
  <si>
    <t>Are you seeking only Federal (any of subsidised, unsubsidised, Plus) Loans</t>
  </si>
  <si>
    <t>Are you seeking only Private Loans (Sallie Mae)</t>
  </si>
  <si>
    <t>Are you seeking a mix of Federal and Private loans (Sallie Mae)</t>
  </si>
  <si>
    <t>Your Loan Entitlement</t>
  </si>
  <si>
    <t>Your Cost of Attendance (Values rounded)</t>
  </si>
  <si>
    <t>Information which affects your Cost of Attendance</t>
  </si>
  <si>
    <t xml:space="preserve"> Details about you</t>
  </si>
  <si>
    <t xml:space="preserve"> U.S. Government Fees deducted from your disbursement</t>
  </si>
  <si>
    <t>Stu Type</t>
  </si>
  <si>
    <t>Add here any extra essential requirements which have not been included</t>
  </si>
  <si>
    <t>Child care for dependent children with the parent-student while parent  in class</t>
  </si>
  <si>
    <t>weekly</t>
  </si>
  <si>
    <t>deducts</t>
  </si>
  <si>
    <t>direct convert</t>
  </si>
  <si>
    <t>room</t>
  </si>
  <si>
    <t>board</t>
  </si>
  <si>
    <t>annual flights</t>
  </si>
  <si>
    <t>1st yr costs</t>
  </si>
  <si>
    <t>essential course equipment</t>
  </si>
  <si>
    <t>essential health</t>
  </si>
  <si>
    <t>essential childcare</t>
  </si>
  <si>
    <t>other essentials</t>
  </si>
  <si>
    <t>Essential flights + health (for 1st yr also visa and laptop)</t>
  </si>
  <si>
    <t>Ist Year</t>
  </si>
  <si>
    <t>School Notes</t>
  </si>
  <si>
    <t>Course essentials like required clothing (drama/catering courses) or equipment (some scientific/media courses)</t>
  </si>
  <si>
    <t>Health related costs such as insuline/physiotherapy - write it here and be specific</t>
  </si>
  <si>
    <t>Other health related costs - such as transposrt if mobility impaired, or scribing - write it here and be specific</t>
  </si>
  <si>
    <t>Request</t>
  </si>
  <si>
    <t>Requests</t>
  </si>
  <si>
    <t>Allow</t>
  </si>
  <si>
    <t>Use drop boxes below</t>
  </si>
  <si>
    <t>Approved Additional Items</t>
  </si>
  <si>
    <t>Final CoA including approved Additional Items</t>
  </si>
  <si>
    <t>Aggregate Loan Limits</t>
  </si>
  <si>
    <t>Limit</t>
  </si>
  <si>
    <t>Sub Limit</t>
  </si>
  <si>
    <t>UG Dependent - all assumed</t>
  </si>
  <si>
    <t>UG Independent</t>
  </si>
  <si>
    <t>Put SHORT notes in this box to justify your extra requests</t>
  </si>
  <si>
    <t>Pounds Sterling</t>
  </si>
  <si>
    <t>CONVERTING COSTS TO DOLLARS</t>
  </si>
  <si>
    <t>note no plus for Ind UGs</t>
  </si>
  <si>
    <t>plus if extras allowed</t>
  </si>
  <si>
    <t>Course essentials like required clothing</t>
  </si>
  <si>
    <t>Health related costs such as insuline/physiotherapy</t>
  </si>
  <si>
    <t>Other health related  -  transposrt if mobility impaired, or scribing</t>
  </si>
  <si>
    <t>Child care for dependent children</t>
  </si>
  <si>
    <t>Total extras approved</t>
  </si>
  <si>
    <t>UG course as PG</t>
  </si>
  <si>
    <t>There is no Subsidised Loan for postgraduates</t>
  </si>
  <si>
    <t>7   School Responses</t>
  </si>
  <si>
    <t>full sallie mae</t>
  </si>
  <si>
    <t>mixed sallie mae</t>
  </si>
  <si>
    <t>Essential flights + health for all years (plus visa and laptop if 1st year)</t>
  </si>
  <si>
    <r>
      <t xml:space="preserve">Total Extra Requests </t>
    </r>
    <r>
      <rPr>
        <b/>
        <sz val="10"/>
        <color indexed="12"/>
        <rFont val="Arial"/>
        <family val="2"/>
      </rPr>
      <t>and those allowed converted into dollars</t>
    </r>
  </si>
  <si>
    <t>private</t>
  </si>
  <si>
    <t>sub</t>
  </si>
  <si>
    <t>plus</t>
  </si>
  <si>
    <t>total</t>
  </si>
  <si>
    <t>zero if only private requested</t>
  </si>
  <si>
    <t>Unsub</t>
  </si>
  <si>
    <t>Compatibility Report for COA 2020.xls</t>
  </si>
  <si>
    <t>Run on 04/06/2020 17:48</t>
  </si>
  <si>
    <t>If the workbook is saved in an earlier file format or opened in an earlier version of Microsoft Excel, the listed features will not be available.</t>
  </si>
  <si>
    <t>Significant loss of functionality</t>
  </si>
  <si>
    <t># of occurrences</t>
  </si>
  <si>
    <t>Version</t>
  </si>
  <si>
    <t>Any effects on this object will be removed. Any text that overflows the boundaries of this graphic will appear truncated.</t>
  </si>
  <si>
    <t>Cost of Attendance'!A1:AF107</t>
  </si>
  <si>
    <t>Excel 97-2003</t>
  </si>
  <si>
    <t>Visa Letter'!A1:G66</t>
  </si>
  <si>
    <t>Private Loan Letter'!A1:G58</t>
  </si>
  <si>
    <t xml:space="preserve">Some cells in this workbook contain data validation rules, which refer to values on other worksheets. These rules won't be saved. </t>
  </si>
  <si>
    <t>Checklist'!B16:B18</t>
  </si>
  <si>
    <t>Checklist'!B7:B12</t>
  </si>
  <si>
    <t>Checklist'!B21:B24</t>
  </si>
  <si>
    <t>Checklist'!B27</t>
  </si>
  <si>
    <t>Minor loss of fidelity</t>
  </si>
  <si>
    <t>One or more objects in this workbook such as shapes, WordArt, or text boxes may allow text to overflow the object boundaries. Earlier versions of Excel do not recognize this option and will hide overflowing text.</t>
  </si>
  <si>
    <t>JR</t>
  </si>
  <si>
    <t>LJ</t>
  </si>
  <si>
    <t>AM</t>
  </si>
  <si>
    <t>if printed on school headed paper and signed</t>
  </si>
  <si>
    <t>2023/24</t>
  </si>
  <si>
    <t>Visa £363 and NHS Charge £470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</si>
</sst>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0"/>
    <numFmt numFmtId="165" formatCode="[$$-409]#,##0"/>
    <numFmt numFmtId="166" formatCode="&quot;£&quot;#,##0.00"/>
    <numFmt numFmtId="167" formatCode="[$$-409]#,##0.00"/>
    <numFmt numFmtId="168" formatCode="#,##0_ ;\-#,##0\ "/>
    <numFmt numFmtId="169" formatCode="[$$-409]#,##0;[Red][$$-409]#,##0"/>
    <numFmt numFmtId="170" formatCode="[$-F800]dddd\,\ mmmm\ dd\,\ yyyy"/>
    <numFmt numFmtId="171" formatCode="[$-809]d\ mmmm\ yyyy;@"/>
    <numFmt numFmtId="172" formatCode="[$$-409]#,##0.00;[Red][$$-409]#,##0.00"/>
    <numFmt numFmtId="173" formatCode="0.0000"/>
    <numFmt numFmtId="174" formatCode="0.0%"/>
    <numFmt numFmtId="175" formatCode="0.0000%"/>
  </numFmts>
  <fonts count="91" x14ac:knownFonts="1">
    <font>
      <sz val="10"/>
      <name val="Arial"/>
    </font>
    <font>
      <sz val="10"/>
      <name val="Arial"/>
    </font>
    <font>
      <b/>
      <sz val="10"/>
      <name val="Arial"/>
      <family val="2"/>
    </font>
    <font>
      <b/>
      <sz val="16"/>
      <name val="Arial"/>
      <family val="2"/>
    </font>
    <font>
      <b/>
      <sz val="10"/>
      <color indexed="10"/>
      <name val="Arial"/>
      <family val="2"/>
    </font>
    <font>
      <sz val="8"/>
      <name val="Arial"/>
    </font>
    <font>
      <sz val="10"/>
      <color indexed="12"/>
      <name val="Arial"/>
      <family val="2"/>
    </font>
    <font>
      <sz val="12"/>
      <name val="Arial"/>
    </font>
    <font>
      <b/>
      <sz val="12"/>
      <color indexed="9"/>
      <name val="Arial"/>
      <family val="2"/>
    </font>
    <font>
      <b/>
      <sz val="12"/>
      <name val="Arial"/>
      <family val="2"/>
    </font>
    <font>
      <sz val="10"/>
      <color indexed="12"/>
      <name val="Arial"/>
    </font>
    <font>
      <b/>
      <sz val="12"/>
      <color indexed="12"/>
      <name val="Arial"/>
      <family val="2"/>
    </font>
    <font>
      <sz val="10"/>
      <name val="Arial"/>
      <family val="2"/>
    </font>
    <font>
      <b/>
      <sz val="14"/>
      <name val="Arial"/>
      <family val="2"/>
    </font>
    <font>
      <b/>
      <sz val="14"/>
      <color indexed="10"/>
      <name val="Arial"/>
      <family val="2"/>
    </font>
    <font>
      <u/>
      <sz val="7.5"/>
      <color indexed="12"/>
      <name val="Arial"/>
    </font>
    <font>
      <b/>
      <sz val="12"/>
      <name val="Arial"/>
    </font>
    <font>
      <b/>
      <sz val="12"/>
      <color indexed="9"/>
      <name val="Arial"/>
    </font>
    <font>
      <b/>
      <sz val="12"/>
      <color indexed="10"/>
      <name val="Arial"/>
    </font>
    <font>
      <b/>
      <sz val="12"/>
      <color indexed="10"/>
      <name val="Arial"/>
      <family val="2"/>
    </font>
    <font>
      <sz val="12"/>
      <color indexed="12"/>
      <name val="Arial"/>
      <family val="2"/>
    </font>
    <font>
      <b/>
      <sz val="10"/>
      <color indexed="15"/>
      <name val="Arial"/>
      <family val="2"/>
    </font>
    <font>
      <b/>
      <sz val="18"/>
      <name val="Times New Roman"/>
      <family val="1"/>
    </font>
    <font>
      <sz val="10"/>
      <name val="Times New Roman"/>
      <family val="1"/>
    </font>
    <font>
      <sz val="14"/>
      <name val="Times New Roman"/>
      <family val="1"/>
    </font>
    <font>
      <b/>
      <sz val="12"/>
      <name val="Times New Roman"/>
      <family val="1"/>
    </font>
    <font>
      <sz val="14"/>
      <color indexed="10"/>
      <name val="Arial"/>
    </font>
    <font>
      <sz val="12"/>
      <name val="Times New Roman"/>
      <family val="1"/>
    </font>
    <font>
      <i/>
      <sz val="12"/>
      <name val="Times New Roman"/>
      <family val="1"/>
    </font>
    <font>
      <sz val="12"/>
      <color indexed="12"/>
      <name val="Arial"/>
    </font>
    <font>
      <b/>
      <sz val="14"/>
      <color indexed="12"/>
      <name val="Arial"/>
      <family val="2"/>
    </font>
    <font>
      <b/>
      <sz val="10"/>
      <color indexed="10"/>
      <name val="Times New Roman"/>
      <family val="1"/>
    </font>
    <font>
      <b/>
      <sz val="12"/>
      <color indexed="10"/>
      <name val="Times New Roman"/>
      <family val="1"/>
    </font>
    <font>
      <b/>
      <sz val="12"/>
      <color indexed="12"/>
      <name val="Times New Roman"/>
      <family val="1"/>
    </font>
    <font>
      <b/>
      <sz val="10"/>
      <name val="Times New Roman"/>
      <family val="1"/>
    </font>
    <font>
      <sz val="10"/>
      <color indexed="10"/>
      <name val="Times New Roman"/>
      <family val="1"/>
    </font>
    <font>
      <sz val="10"/>
      <color indexed="12"/>
      <name val="Times New Roman"/>
      <family val="1"/>
    </font>
    <font>
      <sz val="10"/>
      <color indexed="9"/>
      <name val="Times New Roman"/>
      <family val="1"/>
    </font>
    <font>
      <b/>
      <sz val="10"/>
      <color indexed="12"/>
      <name val="Times New Roman"/>
      <family val="1"/>
    </font>
    <font>
      <b/>
      <sz val="10"/>
      <color indexed="48"/>
      <name val="Times New Roman"/>
      <family val="1"/>
    </font>
    <font>
      <b/>
      <u/>
      <sz val="12"/>
      <color indexed="10"/>
      <name val="Times New Roman"/>
      <family val="1"/>
    </font>
    <font>
      <b/>
      <u/>
      <sz val="10"/>
      <color indexed="10"/>
      <name val="Times New Roman"/>
      <family val="1"/>
    </font>
    <font>
      <b/>
      <sz val="14"/>
      <color indexed="12"/>
      <name val="Times New Roman"/>
      <family val="1"/>
    </font>
    <font>
      <b/>
      <sz val="10"/>
      <color indexed="48"/>
      <name val="Arial"/>
      <family val="2"/>
    </font>
    <font>
      <b/>
      <sz val="12"/>
      <color indexed="13"/>
      <name val="Arial"/>
      <family val="2"/>
    </font>
    <font>
      <u/>
      <sz val="12"/>
      <color indexed="12"/>
      <name val="Arial"/>
      <family val="2"/>
    </font>
    <font>
      <b/>
      <u/>
      <sz val="10"/>
      <color indexed="13"/>
      <name val="Times New Roman"/>
      <family val="1"/>
    </font>
    <font>
      <sz val="10"/>
      <color indexed="13"/>
      <name val="Times New Roman"/>
      <family val="1"/>
    </font>
    <font>
      <b/>
      <sz val="16"/>
      <color indexed="13"/>
      <name val="Times New Roman"/>
      <family val="1"/>
    </font>
    <font>
      <sz val="16"/>
      <name val="Times New Roman"/>
      <family val="1"/>
    </font>
    <font>
      <b/>
      <sz val="16"/>
      <color indexed="17"/>
      <name val="Arial"/>
      <family val="2"/>
    </font>
    <font>
      <b/>
      <sz val="10"/>
      <color indexed="17"/>
      <name val="Arial"/>
      <family val="2"/>
    </font>
    <font>
      <sz val="10"/>
      <color indexed="17"/>
      <name val="Arial"/>
      <family val="2"/>
    </font>
    <font>
      <b/>
      <sz val="12"/>
      <color indexed="17"/>
      <name val="Arial"/>
      <family val="2"/>
    </font>
    <font>
      <sz val="12"/>
      <color indexed="17"/>
      <name val="Arial"/>
      <family val="2"/>
    </font>
    <font>
      <b/>
      <sz val="14"/>
      <color indexed="17"/>
      <name val="Arial"/>
      <family val="2"/>
    </font>
    <font>
      <b/>
      <sz val="14"/>
      <color indexed="9"/>
      <name val="Arial"/>
      <family val="2"/>
    </font>
    <font>
      <b/>
      <sz val="16"/>
      <color indexed="10"/>
      <name val="Times New Roman"/>
      <family val="1"/>
    </font>
    <font>
      <b/>
      <sz val="14"/>
      <color indexed="13"/>
      <name val="Arial"/>
      <family val="2"/>
    </font>
    <font>
      <sz val="12"/>
      <color indexed="10"/>
      <name val="Arial"/>
    </font>
    <font>
      <sz val="10"/>
      <color indexed="22"/>
      <name val="Arial"/>
    </font>
    <font>
      <b/>
      <u/>
      <sz val="7.5"/>
      <color indexed="12"/>
      <name val="Arial"/>
      <family val="2"/>
    </font>
    <font>
      <sz val="10"/>
      <color indexed="10"/>
      <name val="Arial"/>
    </font>
    <font>
      <sz val="10"/>
      <color indexed="23"/>
      <name val="Arial"/>
    </font>
    <font>
      <b/>
      <sz val="10"/>
      <color indexed="9"/>
      <name val="Times New Roman"/>
      <family val="1"/>
    </font>
    <font>
      <sz val="12"/>
      <color indexed="22"/>
      <name val="Arial"/>
    </font>
    <font>
      <b/>
      <sz val="10"/>
      <color indexed="23"/>
      <name val="Arial"/>
      <family val="2"/>
    </font>
    <font>
      <b/>
      <sz val="16"/>
      <color indexed="12"/>
      <name val="Arial"/>
      <family val="2"/>
    </font>
    <font>
      <b/>
      <sz val="16"/>
      <color indexed="10"/>
      <name val="Arial"/>
      <family val="2"/>
    </font>
    <font>
      <b/>
      <i/>
      <sz val="16"/>
      <color indexed="10"/>
      <name val="Arial"/>
      <family val="2"/>
    </font>
    <font>
      <b/>
      <sz val="10"/>
      <color indexed="10"/>
      <name val="Arial"/>
      <family val="2"/>
    </font>
    <font>
      <b/>
      <i/>
      <sz val="8"/>
      <color indexed="10"/>
      <name val="Arial"/>
      <family val="2"/>
    </font>
    <font>
      <b/>
      <sz val="8"/>
      <color indexed="10"/>
      <name val="Arial"/>
      <family val="2"/>
    </font>
    <font>
      <b/>
      <u/>
      <sz val="10"/>
      <color indexed="10"/>
      <name val="Arial"/>
      <family val="2"/>
    </font>
    <font>
      <sz val="10"/>
      <color indexed="10"/>
      <name val="Arial"/>
      <family val="2"/>
    </font>
    <font>
      <b/>
      <sz val="12"/>
      <color indexed="10"/>
      <name val="Arial"/>
      <family val="2"/>
    </font>
    <font>
      <b/>
      <u/>
      <sz val="12"/>
      <color indexed="10"/>
      <name val="Arial"/>
      <family val="2"/>
    </font>
    <font>
      <sz val="12"/>
      <color indexed="10"/>
      <name val="Arial"/>
      <family val="2"/>
    </font>
    <font>
      <b/>
      <sz val="14"/>
      <color indexed="10"/>
      <name val="Arial"/>
      <family val="2"/>
    </font>
    <font>
      <b/>
      <sz val="12"/>
      <color indexed="51"/>
      <name val="Arial"/>
      <family val="2"/>
    </font>
    <font>
      <b/>
      <sz val="10"/>
      <name val="Arial"/>
    </font>
    <font>
      <sz val="10"/>
      <color indexed="13"/>
      <name val="Arial"/>
    </font>
    <font>
      <b/>
      <sz val="16"/>
      <color indexed="13"/>
      <name val="Arial"/>
    </font>
    <font>
      <sz val="12"/>
      <color indexed="13"/>
      <name val="Arial"/>
    </font>
    <font>
      <b/>
      <sz val="10"/>
      <color indexed="12"/>
      <name val="Arial"/>
      <family val="2"/>
    </font>
    <font>
      <sz val="10"/>
      <color indexed="20"/>
      <name val="Arial"/>
    </font>
    <font>
      <sz val="10"/>
      <color indexed="48"/>
      <name val="Times New Roman"/>
      <family val="1"/>
    </font>
    <font>
      <sz val="12"/>
      <color indexed="48"/>
      <name val="Arial"/>
      <family val="2"/>
    </font>
    <font>
      <b/>
      <sz val="10"/>
      <color indexed="12"/>
      <name val="Arial"/>
    </font>
    <font>
      <sz val="10"/>
      <color indexed="10"/>
      <name val="Arial"/>
      <family val="2"/>
    </font>
    <font>
      <b/>
      <sz val="10"/>
      <color indexed="10"/>
      <name val="Arial"/>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48"/>
        <bgColor indexed="64"/>
      </patternFill>
    </fill>
    <fill>
      <patternFill patternType="solid">
        <fgColor indexed="12"/>
        <bgColor indexed="64"/>
      </patternFill>
    </fill>
    <fill>
      <patternFill patternType="solid">
        <fgColor indexed="10"/>
        <bgColor indexed="64"/>
      </patternFill>
    </fill>
  </fills>
  <borders count="27">
    <border>
      <left/>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3">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415">
    <xf numFmtId="0" fontId="0" fillId="0" borderId="0" xfId="0"/>
    <xf numFmtId="0" fontId="7" fillId="0" borderId="0" xfId="0" applyFont="1"/>
    <xf numFmtId="1" fontId="3" fillId="0" borderId="0" xfId="1" applyNumberFormat="1" applyFont="1" applyAlignment="1" applyProtection="1">
      <alignment horizontal="center"/>
    </xf>
    <xf numFmtId="43" fontId="3" fillId="0" borderId="0" xfId="1" applyFont="1" applyAlignment="1" applyProtection="1">
      <alignment horizontal="right"/>
    </xf>
    <xf numFmtId="43" fontId="3" fillId="0" borderId="0" xfId="1" applyFont="1" applyAlignment="1" applyProtection="1">
      <alignment horizontal="center"/>
    </xf>
    <xf numFmtId="0" fontId="3" fillId="0" borderId="0" xfId="0" applyFont="1" applyAlignment="1">
      <alignment horizontal="center"/>
    </xf>
    <xf numFmtId="1" fontId="2" fillId="0" borderId="0" xfId="1" applyNumberFormat="1" applyFont="1" applyAlignment="1" applyProtection="1">
      <alignment horizontal="center"/>
    </xf>
    <xf numFmtId="43" fontId="4" fillId="0" borderId="0" xfId="1" applyFont="1" applyAlignment="1" applyProtection="1">
      <alignment horizontal="right"/>
    </xf>
    <xf numFmtId="43" fontId="2" fillId="0" borderId="0" xfId="1" applyFont="1" applyAlignment="1" applyProtection="1">
      <alignment horizontal="center"/>
    </xf>
    <xf numFmtId="0" fontId="2" fillId="0" borderId="0" xfId="0" applyFont="1" applyAlignment="1">
      <alignment horizontal="center"/>
    </xf>
    <xf numFmtId="43" fontId="0" fillId="0" borderId="0" xfId="1" applyFont="1" applyAlignment="1" applyProtection="1">
      <alignment horizontal="right"/>
    </xf>
    <xf numFmtId="43" fontId="2" fillId="0" borderId="0" xfId="1" applyFont="1" applyAlignment="1" applyProtection="1">
      <alignment horizontal="right"/>
    </xf>
    <xf numFmtId="168" fontId="12" fillId="0" borderId="0" xfId="1" applyNumberFormat="1" applyFont="1" applyAlignment="1" applyProtection="1">
      <alignment horizontal="right"/>
    </xf>
    <xf numFmtId="1" fontId="0" fillId="0" borderId="0" xfId="1" applyNumberFormat="1" applyFont="1" applyAlignment="1" applyProtection="1">
      <alignment horizontal="center"/>
    </xf>
    <xf numFmtId="43" fontId="0" fillId="0" borderId="0" xfId="1" applyFont="1" applyProtection="1"/>
    <xf numFmtId="43" fontId="0" fillId="0" borderId="0" xfId="1" applyFont="1" applyAlignment="1" applyProtection="1">
      <alignment horizontal="center"/>
    </xf>
    <xf numFmtId="0" fontId="0" fillId="0" borderId="0" xfId="0" applyAlignment="1">
      <alignment horizontal="center"/>
    </xf>
    <xf numFmtId="1" fontId="0" fillId="2" borderId="1" xfId="1" applyNumberFormat="1" applyFont="1" applyFill="1" applyBorder="1" applyAlignment="1" applyProtection="1">
      <alignment horizontal="center"/>
    </xf>
    <xf numFmtId="43" fontId="0" fillId="2" borderId="0" xfId="1" applyFont="1" applyFill="1" applyBorder="1" applyAlignment="1" applyProtection="1">
      <alignment horizontal="center"/>
    </xf>
    <xf numFmtId="43" fontId="7" fillId="2" borderId="0" xfId="1" applyFont="1" applyFill="1" applyBorder="1" applyAlignment="1" applyProtection="1">
      <alignment horizontal="center"/>
    </xf>
    <xf numFmtId="43" fontId="0" fillId="0" borderId="0" xfId="1" applyFont="1" applyBorder="1" applyProtection="1"/>
    <xf numFmtId="43" fontId="0" fillId="0" borderId="0" xfId="1" applyFont="1" applyBorder="1" applyAlignment="1" applyProtection="1">
      <alignment vertical="top" wrapText="1"/>
    </xf>
    <xf numFmtId="1" fontId="7" fillId="0" borderId="0" xfId="1" applyNumberFormat="1" applyFont="1" applyAlignment="1" applyProtection="1">
      <alignment horizontal="center"/>
    </xf>
    <xf numFmtId="0" fontId="14" fillId="0" borderId="0" xfId="0" applyFont="1" applyAlignment="1">
      <alignment horizontal="center"/>
    </xf>
    <xf numFmtId="0" fontId="14" fillId="0" borderId="2" xfId="0" applyFont="1" applyBorder="1" applyAlignment="1">
      <alignment horizontal="center"/>
    </xf>
    <xf numFmtId="167" fontId="7" fillId="0" borderId="0" xfId="0" applyNumberFormat="1" applyFont="1" applyAlignment="1">
      <alignment horizontal="center"/>
    </xf>
    <xf numFmtId="167" fontId="16" fillId="0" borderId="0" xfId="0" applyNumberFormat="1" applyFont="1" applyAlignment="1">
      <alignment horizontal="center"/>
    </xf>
    <xf numFmtId="167" fontId="17" fillId="3" borderId="3" xfId="0" applyNumberFormat="1" applyFont="1" applyFill="1" applyBorder="1" applyAlignment="1">
      <alignment horizontal="center"/>
    </xf>
    <xf numFmtId="167" fontId="17" fillId="3" borderId="4" xfId="0" applyNumberFormat="1" applyFont="1" applyFill="1" applyBorder="1" applyAlignment="1">
      <alignment horizontal="center"/>
    </xf>
    <xf numFmtId="167" fontId="18" fillId="0" borderId="0" xfId="0" applyNumberFormat="1" applyFont="1" applyAlignment="1">
      <alignment horizontal="center"/>
    </xf>
    <xf numFmtId="167" fontId="18" fillId="0" borderId="5" xfId="0" applyNumberFormat="1" applyFont="1" applyBorder="1" applyAlignment="1">
      <alignment horizontal="center"/>
    </xf>
    <xf numFmtId="167" fontId="18" fillId="0" borderId="2" xfId="0" applyNumberFormat="1" applyFont="1" applyBorder="1" applyAlignment="1">
      <alignment horizontal="center"/>
    </xf>
    <xf numFmtId="167" fontId="18" fillId="0" borderId="6" xfId="0" applyNumberFormat="1" applyFont="1" applyBorder="1" applyAlignment="1">
      <alignment horizontal="center"/>
    </xf>
    <xf numFmtId="1" fontId="7" fillId="0" borderId="0" xfId="0" applyNumberFormat="1" applyFont="1" applyAlignment="1">
      <alignment horizontal="center"/>
    </xf>
    <xf numFmtId="1" fontId="0" fillId="0" borderId="0" xfId="0" applyNumberFormat="1" applyAlignment="1">
      <alignment horizontal="center"/>
    </xf>
    <xf numFmtId="0" fontId="0" fillId="0" borderId="0" xfId="0" applyAlignment="1" applyProtection="1">
      <alignment horizontal="center"/>
      <protection locked="0"/>
    </xf>
    <xf numFmtId="0" fontId="0" fillId="0" borderId="0" xfId="0" applyProtection="1">
      <protection hidden="1"/>
    </xf>
    <xf numFmtId="0" fontId="2" fillId="0" borderId="0" xfId="0" applyFont="1" applyAlignment="1" applyProtection="1">
      <alignment horizontal="center"/>
      <protection hidden="1"/>
    </xf>
    <xf numFmtId="0" fontId="22" fillId="0" borderId="0" xfId="0" applyFont="1" applyAlignment="1" applyProtection="1">
      <alignment horizontal="left"/>
      <protection hidden="1"/>
    </xf>
    <xf numFmtId="0" fontId="23" fillId="0" borderId="0" xfId="0" applyFont="1" applyProtection="1">
      <protection hidden="1"/>
    </xf>
    <xf numFmtId="0" fontId="24" fillId="0" borderId="0" xfId="0" applyFont="1" applyProtection="1">
      <protection hidden="1"/>
    </xf>
    <xf numFmtId="0" fontId="25" fillId="0" borderId="7" xfId="0" applyFont="1" applyBorder="1" applyAlignment="1" applyProtection="1">
      <alignment horizontal="center" vertical="top" wrapText="1"/>
      <protection hidden="1"/>
    </xf>
    <xf numFmtId="49" fontId="16" fillId="0" borderId="7" xfId="0" applyNumberFormat="1" applyFont="1" applyBorder="1" applyAlignment="1" applyProtection="1">
      <alignment horizontal="center"/>
      <protection hidden="1"/>
    </xf>
    <xf numFmtId="0" fontId="16" fillId="0" borderId="0" xfId="0" applyFont="1" applyProtection="1">
      <protection hidden="1"/>
    </xf>
    <xf numFmtId="0" fontId="16" fillId="0" borderId="0" xfId="0" applyFont="1"/>
    <xf numFmtId="171" fontId="16" fillId="0" borderId="7" xfId="0" applyNumberFormat="1" applyFont="1" applyBorder="1" applyAlignment="1" applyProtection="1">
      <alignment horizontal="center"/>
      <protection hidden="1"/>
    </xf>
    <xf numFmtId="0" fontId="9" fillId="0" borderId="7" xfId="0" applyFont="1" applyBorder="1" applyAlignment="1" applyProtection="1">
      <alignment horizontal="center"/>
      <protection hidden="1"/>
    </xf>
    <xf numFmtId="170" fontId="9" fillId="0" borderId="7" xfId="0" applyNumberFormat="1" applyFont="1" applyBorder="1" applyAlignment="1" applyProtection="1">
      <alignment horizontal="center"/>
      <protection hidden="1"/>
    </xf>
    <xf numFmtId="0" fontId="9" fillId="0" borderId="0" xfId="0" applyFont="1" applyProtection="1">
      <protection hidden="1"/>
    </xf>
    <xf numFmtId="0" fontId="9" fillId="0" borderId="0" xfId="0" applyFont="1"/>
    <xf numFmtId="167" fontId="16" fillId="0" borderId="7" xfId="0" applyNumberFormat="1" applyFont="1" applyBorder="1" applyAlignment="1" applyProtection="1">
      <alignment horizontal="center"/>
      <protection hidden="1"/>
    </xf>
    <xf numFmtId="0" fontId="25" fillId="0" borderId="8" xfId="0" applyFont="1" applyBorder="1" applyAlignment="1" applyProtection="1">
      <alignment horizontal="center" vertical="top" wrapText="1"/>
      <protection hidden="1"/>
    </xf>
    <xf numFmtId="167" fontId="9" fillId="0" borderId="7" xfId="0" applyNumberFormat="1" applyFont="1" applyBorder="1" applyAlignment="1" applyProtection="1">
      <alignment horizontal="center"/>
      <protection hidden="1"/>
    </xf>
    <xf numFmtId="0" fontId="9" fillId="0" borderId="8" xfId="0" applyFont="1" applyBorder="1" applyAlignment="1" applyProtection="1">
      <alignment horizontal="center"/>
      <protection hidden="1"/>
    </xf>
    <xf numFmtId="0" fontId="25" fillId="0" borderId="0" xfId="0" applyFont="1" applyProtection="1">
      <protection hidden="1"/>
    </xf>
    <xf numFmtId="0" fontId="25" fillId="0" borderId="0" xfId="0" applyFont="1"/>
    <xf numFmtId="0" fontId="25" fillId="0" borderId="7" xfId="0" applyFont="1" applyBorder="1" applyAlignment="1" applyProtection="1">
      <alignment horizontal="center"/>
      <protection hidden="1"/>
    </xf>
    <xf numFmtId="0" fontId="16" fillId="0" borderId="7" xfId="0" applyFont="1" applyBorder="1" applyAlignment="1">
      <alignment horizontal="center"/>
    </xf>
    <xf numFmtId="0" fontId="26" fillId="0" borderId="0" xfId="0" applyFont="1"/>
    <xf numFmtId="0" fontId="4" fillId="0" borderId="0" xfId="0" applyFont="1"/>
    <xf numFmtId="49" fontId="2"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49" fontId="9" fillId="0" borderId="0" xfId="0" applyNumberFormat="1" applyFont="1" applyAlignment="1" applyProtection="1">
      <alignment horizontal="center"/>
      <protection hidden="1"/>
    </xf>
    <xf numFmtId="0" fontId="27" fillId="0" borderId="0" xfId="0" applyFont="1" applyProtection="1">
      <protection hidden="1"/>
    </xf>
    <xf numFmtId="0" fontId="7" fillId="0" borderId="0" xfId="0" applyFont="1" applyProtection="1">
      <protection hidden="1"/>
    </xf>
    <xf numFmtId="0" fontId="27" fillId="0" borderId="0" xfId="0" applyFont="1"/>
    <xf numFmtId="171" fontId="27" fillId="0" borderId="0" xfId="0" applyNumberFormat="1" applyFont="1" applyAlignment="1" applyProtection="1">
      <alignment horizontal="left"/>
      <protection hidden="1"/>
    </xf>
    <xf numFmtId="43" fontId="22" fillId="0" borderId="0" xfId="0" applyNumberFormat="1" applyFont="1" applyAlignment="1" applyProtection="1">
      <alignment horizontal="left"/>
      <protection hidden="1"/>
    </xf>
    <xf numFmtId="1" fontId="0" fillId="2" borderId="0" xfId="1" applyNumberFormat="1" applyFont="1" applyFill="1" applyBorder="1" applyAlignment="1" applyProtection="1">
      <alignment horizontal="center"/>
    </xf>
    <xf numFmtId="1" fontId="7" fillId="0" borderId="0" xfId="1" applyNumberFormat="1" applyFont="1" applyBorder="1" applyAlignment="1" applyProtection="1">
      <alignment horizontal="center"/>
    </xf>
    <xf numFmtId="1" fontId="7" fillId="0" borderId="0" xfId="1" applyNumberFormat="1" applyFont="1" applyFill="1" applyBorder="1" applyAlignment="1" applyProtection="1">
      <alignment horizontal="center"/>
    </xf>
    <xf numFmtId="0" fontId="0" fillId="0" borderId="0" xfId="0"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0" fontId="14" fillId="0" borderId="0" xfId="0" applyFont="1"/>
    <xf numFmtId="0" fontId="14" fillId="0" borderId="0" xfId="0" applyFont="1" applyAlignment="1">
      <alignment vertical="center"/>
    </xf>
    <xf numFmtId="0" fontId="0" fillId="0" borderId="0" xfId="0" applyAlignment="1">
      <alignment vertical="center"/>
    </xf>
    <xf numFmtId="43" fontId="12" fillId="0" borderId="9" xfId="1" applyFont="1" applyBorder="1" applyAlignment="1" applyProtection="1">
      <alignment vertical="center"/>
    </xf>
    <xf numFmtId="43" fontId="0" fillId="0" borderId="0" xfId="1" applyFont="1" applyAlignment="1" applyProtection="1">
      <alignment horizontal="left" indent="11"/>
    </xf>
    <xf numFmtId="170" fontId="0" fillId="0" borderId="0" xfId="0" applyNumberFormat="1" applyAlignment="1">
      <alignment horizontal="center"/>
    </xf>
    <xf numFmtId="167" fontId="0" fillId="0" borderId="0" xfId="1" applyNumberFormat="1" applyFont="1" applyAlignment="1" applyProtection="1">
      <alignment horizontal="center"/>
    </xf>
    <xf numFmtId="43" fontId="2" fillId="0" borderId="10" xfId="1" applyFont="1" applyBorder="1" applyAlignment="1" applyProtection="1">
      <alignment horizontal="left" indent="11"/>
    </xf>
    <xf numFmtId="43" fontId="0" fillId="0" borderId="0" xfId="1" applyFont="1" applyBorder="1" applyAlignment="1" applyProtection="1">
      <alignment horizontal="right"/>
    </xf>
    <xf numFmtId="0" fontId="0" fillId="0" borderId="0" xfId="0" applyProtection="1">
      <protection locked="0"/>
    </xf>
    <xf numFmtId="0" fontId="31" fillId="0" borderId="0" xfId="0" applyFont="1"/>
    <xf numFmtId="0" fontId="23" fillId="0" borderId="0" xfId="0" applyFont="1"/>
    <xf numFmtId="0" fontId="33" fillId="0" borderId="0" xfId="0" applyFont="1"/>
    <xf numFmtId="0" fontId="38" fillId="0" borderId="0" xfId="0" applyFont="1"/>
    <xf numFmtId="0" fontId="42" fillId="0" borderId="0" xfId="0" applyFont="1"/>
    <xf numFmtId="0" fontId="23" fillId="0" borderId="0" xfId="0" applyFont="1" applyAlignment="1">
      <alignment horizontal="left" indent="5"/>
    </xf>
    <xf numFmtId="0" fontId="31" fillId="0" borderId="0" xfId="0" applyFont="1" applyAlignment="1">
      <alignment horizontal="left" indent="5"/>
    </xf>
    <xf numFmtId="0" fontId="33" fillId="0" borderId="0" xfId="0" applyFont="1" applyAlignment="1">
      <alignment horizontal="left"/>
    </xf>
    <xf numFmtId="0" fontId="38" fillId="0" borderId="0" xfId="0" applyFont="1" applyAlignment="1">
      <alignment horizontal="left" indent="5"/>
    </xf>
    <xf numFmtId="0" fontId="25" fillId="0" borderId="0" xfId="0" applyFont="1" applyAlignment="1" applyProtection="1">
      <alignment horizontal="center"/>
      <protection hidden="1"/>
    </xf>
    <xf numFmtId="49" fontId="25" fillId="0" borderId="0" xfId="0" applyNumberFormat="1" applyFont="1" applyAlignment="1" applyProtection="1">
      <alignment horizontal="center"/>
      <protection hidden="1"/>
    </xf>
    <xf numFmtId="49" fontId="34"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25" fillId="0" borderId="7" xfId="0" applyFont="1" applyBorder="1" applyAlignment="1">
      <alignment horizontal="center"/>
    </xf>
    <xf numFmtId="171" fontId="25" fillId="0" borderId="7" xfId="0" applyNumberFormat="1" applyFont="1" applyBorder="1" applyAlignment="1" applyProtection="1">
      <alignment horizontal="center"/>
      <protection hidden="1"/>
    </xf>
    <xf numFmtId="49" fontId="25" fillId="0" borderId="7" xfId="0" applyNumberFormat="1" applyFont="1" applyBorder="1" applyAlignment="1" applyProtection="1">
      <alignment horizontal="center"/>
      <protection hidden="1"/>
    </xf>
    <xf numFmtId="170" fontId="25" fillId="0" borderId="7" xfId="0" applyNumberFormat="1" applyFont="1" applyBorder="1" applyAlignment="1" applyProtection="1">
      <alignment horizontal="center"/>
      <protection hidden="1"/>
    </xf>
    <xf numFmtId="0" fontId="25" fillId="0" borderId="8" xfId="0" applyFont="1" applyBorder="1" applyAlignment="1" applyProtection="1">
      <alignment horizontal="center"/>
      <protection hidden="1"/>
    </xf>
    <xf numFmtId="170" fontId="43" fillId="0" borderId="0" xfId="1" applyNumberFormat="1" applyFont="1" applyAlignment="1" applyProtection="1"/>
    <xf numFmtId="170" fontId="43" fillId="0" borderId="0" xfId="0" applyNumberFormat="1" applyFont="1"/>
    <xf numFmtId="0" fontId="2" fillId="0" borderId="0" xfId="0" applyFont="1"/>
    <xf numFmtId="43" fontId="30" fillId="4" borderId="3" xfId="1" applyFont="1" applyFill="1" applyBorder="1" applyAlignment="1" applyProtection="1">
      <alignment horizontal="center"/>
    </xf>
    <xf numFmtId="43" fontId="11" fillId="4" borderId="0" xfId="1" applyFont="1" applyFill="1" applyBorder="1" applyAlignment="1" applyProtection="1">
      <alignment horizontal="center"/>
      <protection locked="0"/>
    </xf>
    <xf numFmtId="49" fontId="11" fillId="4" borderId="0" xfId="1" applyNumberFormat="1" applyFont="1" applyFill="1" applyBorder="1" applyAlignment="1" applyProtection="1">
      <alignment horizontal="center"/>
      <protection locked="0"/>
    </xf>
    <xf numFmtId="49" fontId="20" fillId="4" borderId="0" xfId="0" applyNumberFormat="1" applyFont="1" applyFill="1" applyAlignment="1" applyProtection="1">
      <alignment horizontal="center"/>
      <protection locked="0"/>
    </xf>
    <xf numFmtId="43" fontId="10" fillId="4" borderId="0" xfId="1" applyFont="1" applyFill="1" applyBorder="1" applyAlignment="1" applyProtection="1">
      <alignment horizontal="center"/>
      <protection locked="0"/>
    </xf>
    <xf numFmtId="168" fontId="10" fillId="4" borderId="0" xfId="1" applyNumberFormat="1" applyFont="1" applyFill="1" applyBorder="1" applyAlignment="1" applyProtection="1">
      <alignment horizontal="center"/>
      <protection locked="0"/>
    </xf>
    <xf numFmtId="3" fontId="10" fillId="4" borderId="0" xfId="1" applyNumberFormat="1" applyFont="1" applyFill="1" applyBorder="1" applyAlignment="1" applyProtection="1">
      <alignment horizontal="center"/>
      <protection locked="0"/>
    </xf>
    <xf numFmtId="164" fontId="10" fillId="4" borderId="0" xfId="1" applyNumberFormat="1" applyFont="1" applyFill="1" applyBorder="1" applyAlignment="1" applyProtection="1">
      <alignment horizontal="center"/>
      <protection locked="0"/>
    </xf>
    <xf numFmtId="49" fontId="20" fillId="4" borderId="0" xfId="1" applyNumberFormat="1" applyFont="1" applyFill="1" applyBorder="1" applyAlignment="1" applyProtection="1">
      <alignment horizontal="center"/>
      <protection locked="0"/>
    </xf>
    <xf numFmtId="49" fontId="45" fillId="4" borderId="0" xfId="2" applyNumberFormat="1" applyFont="1" applyFill="1" applyBorder="1" applyAlignment="1" applyProtection="1">
      <alignment horizontal="center"/>
      <protection locked="0"/>
    </xf>
    <xf numFmtId="170" fontId="20" fillId="4" borderId="0" xfId="0" applyNumberFormat="1" applyFont="1" applyFill="1" applyAlignment="1" applyProtection="1">
      <alignment horizontal="center"/>
      <protection locked="0"/>
    </xf>
    <xf numFmtId="0" fontId="33" fillId="4" borderId="0" xfId="0" applyFont="1" applyFill="1"/>
    <xf numFmtId="0" fontId="32" fillId="0" borderId="0" xfId="0" applyFont="1"/>
    <xf numFmtId="0" fontId="39" fillId="0" borderId="0" xfId="0" applyFont="1"/>
    <xf numFmtId="0" fontId="35" fillId="0" borderId="0" xfId="0" applyFont="1" applyAlignment="1">
      <alignment horizontal="center"/>
    </xf>
    <xf numFmtId="0" fontId="36" fillId="0" borderId="0" xfId="0" applyFont="1"/>
    <xf numFmtId="0" fontId="23" fillId="0" borderId="0" xfId="0" applyFont="1" applyAlignment="1">
      <alignment horizontal="center"/>
    </xf>
    <xf numFmtId="0" fontId="23" fillId="0" borderId="0" xfId="0" applyFont="1" applyAlignment="1">
      <alignment horizontal="right"/>
    </xf>
    <xf numFmtId="165" fontId="23" fillId="0" borderId="0" xfId="0" applyNumberFormat="1" applyFont="1"/>
    <xf numFmtId="0" fontId="40" fillId="0" borderId="0" xfId="0" applyFont="1"/>
    <xf numFmtId="14" fontId="37" fillId="5" borderId="0" xfId="0" applyNumberFormat="1" applyFont="1" applyFill="1"/>
    <xf numFmtId="164" fontId="23" fillId="0" borderId="0" xfId="0" applyNumberFormat="1" applyFont="1"/>
    <xf numFmtId="164" fontId="37" fillId="5" borderId="0" xfId="0" applyNumberFormat="1" applyFont="1" applyFill="1"/>
    <xf numFmtId="166" fontId="36" fillId="0" borderId="0" xfId="0" applyNumberFormat="1" applyFont="1"/>
    <xf numFmtId="164" fontId="31" fillId="0" borderId="0" xfId="0" applyNumberFormat="1" applyFont="1"/>
    <xf numFmtId="0" fontId="37" fillId="5" borderId="0" xfId="0" applyFont="1" applyFill="1"/>
    <xf numFmtId="164" fontId="31" fillId="5" borderId="0" xfId="0" applyNumberFormat="1" applyFont="1" applyFill="1"/>
    <xf numFmtId="1" fontId="37" fillId="5" borderId="0" xfId="0" applyNumberFormat="1" applyFont="1" applyFill="1"/>
    <xf numFmtId="164" fontId="39" fillId="0" borderId="0" xfId="0" applyNumberFormat="1" applyFont="1"/>
    <xf numFmtId="43" fontId="12" fillId="0" borderId="0" xfId="1" applyFont="1" applyBorder="1" applyAlignment="1" applyProtection="1">
      <alignment horizontal="right"/>
    </xf>
    <xf numFmtId="0" fontId="37" fillId="0" borderId="0" xfId="0" applyFont="1"/>
    <xf numFmtId="0" fontId="23" fillId="0" borderId="0" xfId="0" applyFont="1" applyAlignment="1">
      <alignment horizontal="center" vertical="center" wrapText="1"/>
    </xf>
    <xf numFmtId="165" fontId="37" fillId="5" borderId="0" xfId="0" applyNumberFormat="1" applyFont="1" applyFill="1"/>
    <xf numFmtId="165" fontId="37" fillId="5" borderId="11" xfId="0" applyNumberFormat="1" applyFont="1" applyFill="1" applyBorder="1"/>
    <xf numFmtId="165" fontId="37" fillId="5" borderId="10" xfId="0" applyNumberFormat="1" applyFont="1" applyFill="1" applyBorder="1"/>
    <xf numFmtId="0" fontId="2" fillId="0" borderId="1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1" fillId="0" borderId="0" xfId="0" applyFont="1" applyAlignment="1">
      <alignment horizont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xf>
    <xf numFmtId="0" fontId="19" fillId="0" borderId="5" xfId="0" applyFont="1" applyBorder="1" applyAlignment="1">
      <alignment horizontal="center"/>
    </xf>
    <xf numFmtId="0" fontId="0" fillId="0" borderId="1" xfId="0" applyBorder="1"/>
    <xf numFmtId="0" fontId="19" fillId="0" borderId="5" xfId="0" applyFont="1" applyBorder="1"/>
    <xf numFmtId="0" fontId="0" fillId="2" borderId="0" xfId="0" applyFill="1" applyAlignment="1">
      <alignment horizontal="center"/>
    </xf>
    <xf numFmtId="0" fontId="0" fillId="0" borderId="5" xfId="0" applyBorder="1"/>
    <xf numFmtId="0" fontId="2" fillId="0" borderId="1" xfId="0" applyFont="1" applyBorder="1"/>
    <xf numFmtId="0" fontId="19" fillId="0" borderId="13" xfId="0" applyFont="1" applyBorder="1"/>
    <xf numFmtId="0" fontId="19" fillId="0" borderId="2" xfId="0" applyFont="1" applyBorder="1"/>
    <xf numFmtId="0" fontId="19" fillId="0" borderId="6" xfId="0" applyFont="1" applyBorder="1"/>
    <xf numFmtId="0" fontId="19" fillId="0" borderId="0" xfId="0" applyFont="1"/>
    <xf numFmtId="0" fontId="3" fillId="0" borderId="0" xfId="0" applyFont="1"/>
    <xf numFmtId="0" fontId="2" fillId="0" borderId="0" xfId="0" applyFont="1" applyAlignment="1">
      <alignment horizontal="right"/>
    </xf>
    <xf numFmtId="0" fontId="9" fillId="0" borderId="0" xfId="0" applyFont="1" applyAlignment="1">
      <alignment horizontal="center"/>
    </xf>
    <xf numFmtId="0" fontId="13" fillId="0" borderId="0" xfId="0" applyFont="1" applyAlignment="1">
      <alignment horizontal="center"/>
    </xf>
    <xf numFmtId="0" fontId="38" fillId="0" borderId="0" xfId="0" applyFont="1" applyAlignment="1">
      <alignment horizontal="center"/>
    </xf>
    <xf numFmtId="0" fontId="32" fillId="0" borderId="0" xfId="0" applyFont="1" applyAlignment="1">
      <alignment horizontal="left" indent="5"/>
    </xf>
    <xf numFmtId="166" fontId="36" fillId="4" borderId="0" xfId="0" applyNumberFormat="1" applyFont="1" applyFill="1"/>
    <xf numFmtId="14" fontId="36" fillId="4" borderId="0" xfId="0" applyNumberFormat="1" applyFont="1" applyFill="1"/>
    <xf numFmtId="43" fontId="6" fillId="4" borderId="0" xfId="1" applyFont="1" applyFill="1" applyBorder="1" applyAlignment="1" applyProtection="1">
      <alignment horizontal="right"/>
    </xf>
    <xf numFmtId="0" fontId="36" fillId="4" borderId="0" xfId="0" applyFont="1" applyFill="1" applyAlignment="1">
      <alignment horizontal="center"/>
    </xf>
    <xf numFmtId="167" fontId="36" fillId="4" borderId="0" xfId="0" applyNumberFormat="1" applyFont="1" applyFill="1" applyAlignment="1">
      <alignment horizontal="center"/>
    </xf>
    <xf numFmtId="0" fontId="36" fillId="4" borderId="0" xfId="0" applyFont="1" applyFill="1" applyAlignment="1">
      <alignment horizontal="right"/>
    </xf>
    <xf numFmtId="0" fontId="39" fillId="0" borderId="0" xfId="0" applyFont="1" applyAlignment="1">
      <alignment horizontal="center"/>
    </xf>
    <xf numFmtId="0" fontId="37" fillId="5" borderId="0" xfId="0" applyFont="1" applyFill="1" applyAlignment="1">
      <alignment horizontal="center"/>
    </xf>
    <xf numFmtId="0" fontId="31" fillId="0" borderId="0" xfId="0" applyFont="1" applyAlignment="1">
      <alignment horizontal="center"/>
    </xf>
    <xf numFmtId="0" fontId="23" fillId="4" borderId="0" xfId="0" applyFont="1" applyFill="1" applyAlignment="1">
      <alignment horizontal="center"/>
    </xf>
    <xf numFmtId="0" fontId="46" fillId="6" borderId="0" xfId="0" applyFont="1" applyFill="1"/>
    <xf numFmtId="0" fontId="47" fillId="6" borderId="0" xfId="0" applyFont="1" applyFill="1"/>
    <xf numFmtId="0" fontId="48" fillId="6" borderId="0" xfId="0" applyFont="1" applyFill="1"/>
    <xf numFmtId="0" fontId="49" fillId="0" borderId="0" xfId="0" applyFont="1"/>
    <xf numFmtId="0" fontId="33" fillId="0" borderId="0" xfId="0" applyFont="1" applyAlignment="1">
      <alignment horizontal="left" indent="5"/>
    </xf>
    <xf numFmtId="43" fontId="0" fillId="0" borderId="0" xfId="1" applyFont="1" applyBorder="1" applyAlignment="1" applyProtection="1">
      <alignment vertical="top" wrapText="1"/>
      <protection locked="0"/>
    </xf>
    <xf numFmtId="43" fontId="0" fillId="0" borderId="0" xfId="1" applyFont="1" applyBorder="1" applyProtection="1">
      <protection locked="0"/>
    </xf>
    <xf numFmtId="0" fontId="13" fillId="0" borderId="0" xfId="0" applyFont="1" applyAlignment="1" applyProtection="1">
      <alignment horizontal="center"/>
      <protection locked="0"/>
    </xf>
    <xf numFmtId="167" fontId="16" fillId="0" borderId="0" xfId="0" applyNumberFormat="1" applyFont="1" applyAlignment="1" applyProtection="1">
      <alignment horizontal="center" vertical="center" wrapText="1"/>
      <protection locked="0"/>
    </xf>
    <xf numFmtId="0" fontId="44" fillId="3" borderId="0" xfId="0" applyFont="1" applyFill="1" applyAlignment="1" applyProtection="1">
      <alignment horizontal="center" vertical="center" wrapText="1"/>
      <protection locked="0"/>
    </xf>
    <xf numFmtId="174" fontId="7" fillId="0" borderId="0" xfId="1" applyNumberFormat="1" applyFont="1" applyAlignment="1" applyProtection="1">
      <alignment horizontal="right"/>
      <protection locked="0"/>
    </xf>
    <xf numFmtId="43" fontId="7" fillId="0" borderId="0" xfId="1" applyFont="1" applyAlignment="1" applyProtection="1">
      <alignment horizontal="left" indent="11"/>
      <protection locked="0"/>
    </xf>
    <xf numFmtId="167" fontId="7" fillId="0" borderId="0" xfId="0" applyNumberFormat="1" applyFont="1" applyAlignment="1" applyProtection="1">
      <alignment horizontal="right"/>
      <protection locked="0"/>
    </xf>
    <xf numFmtId="43" fontId="9" fillId="0" borderId="10" xfId="1" applyFont="1" applyBorder="1" applyAlignment="1" applyProtection="1">
      <alignment horizontal="left" indent="11"/>
      <protection locked="0"/>
    </xf>
    <xf numFmtId="1" fontId="8" fillId="3" borderId="0" xfId="0" applyNumberFormat="1" applyFont="1" applyFill="1" applyAlignment="1" applyProtection="1">
      <alignment horizontal="center"/>
      <protection locked="0"/>
    </xf>
    <xf numFmtId="0" fontId="14" fillId="0" borderId="0" xfId="0" applyFont="1" applyProtection="1">
      <protection locked="0"/>
    </xf>
    <xf numFmtId="43" fontId="1" fillId="0" borderId="0" xfId="1" applyFont="1" applyAlignment="1" applyProtection="1">
      <protection locked="0"/>
    </xf>
    <xf numFmtId="0" fontId="50" fillId="0" borderId="0" xfId="0" applyFont="1"/>
    <xf numFmtId="0" fontId="51" fillId="0" borderId="0" xfId="0" applyFont="1"/>
    <xf numFmtId="0" fontId="52" fillId="0" borderId="0" xfId="0" applyFont="1"/>
    <xf numFmtId="0" fontId="54" fillId="0" borderId="0" xfId="0" applyFont="1"/>
    <xf numFmtId="0" fontId="53" fillId="0" borderId="0" xfId="0" applyFont="1" applyAlignment="1">
      <alignment horizontal="center"/>
    </xf>
    <xf numFmtId="0" fontId="55" fillId="0" borderId="0" xfId="0" applyFont="1" applyAlignment="1">
      <alignment horizontal="center"/>
    </xf>
    <xf numFmtId="0" fontId="52" fillId="0" borderId="0" xfId="0" applyFont="1" applyProtection="1">
      <protection locked="0"/>
    </xf>
    <xf numFmtId="0" fontId="55" fillId="0" borderId="0" xfId="0" applyFont="1" applyAlignment="1" applyProtection="1">
      <alignment horizontal="center"/>
      <protection locked="0"/>
    </xf>
    <xf numFmtId="175" fontId="1" fillId="0" borderId="0" xfId="0" applyNumberFormat="1" applyFont="1" applyAlignment="1" applyProtection="1">
      <alignment horizontal="right"/>
      <protection locked="0"/>
    </xf>
    <xf numFmtId="0" fontId="57" fillId="0" borderId="0" xfId="0" applyFont="1" applyAlignment="1">
      <alignment horizontal="center"/>
    </xf>
    <xf numFmtId="0" fontId="32" fillId="0" borderId="0" xfId="0" applyFont="1" applyAlignment="1">
      <alignment horizontal="center"/>
    </xf>
    <xf numFmtId="0" fontId="40" fillId="0" borderId="0" xfId="0" applyFont="1" applyAlignment="1">
      <alignment horizontal="center"/>
    </xf>
    <xf numFmtId="0" fontId="57" fillId="6" borderId="0" xfId="0" applyFont="1" applyFill="1" applyAlignment="1">
      <alignment horizontal="center"/>
    </xf>
    <xf numFmtId="0" fontId="32" fillId="4" borderId="0" xfId="0" applyFont="1" applyFill="1" applyAlignment="1">
      <alignment horizontal="center"/>
    </xf>
    <xf numFmtId="0" fontId="35" fillId="5" borderId="0" xfId="0" applyFont="1" applyFill="1" applyAlignment="1">
      <alignment horizontal="center"/>
    </xf>
    <xf numFmtId="0" fontId="41" fillId="6" borderId="0" xfId="0" applyFont="1" applyFill="1" applyAlignment="1">
      <alignment horizontal="center"/>
    </xf>
    <xf numFmtId="170" fontId="43" fillId="0" borderId="0" xfId="1" applyNumberFormat="1" applyFont="1" applyAlignment="1" applyProtection="1">
      <alignment horizontal="right"/>
    </xf>
    <xf numFmtId="170" fontId="36" fillId="4" borderId="0" xfId="0" applyNumberFormat="1" applyFont="1" applyFill="1"/>
    <xf numFmtId="0" fontId="23" fillId="6" borderId="0" xfId="0" applyFont="1" applyFill="1"/>
    <xf numFmtId="14" fontId="23" fillId="0" borderId="0" xfId="0" applyNumberFormat="1" applyFont="1"/>
    <xf numFmtId="165" fontId="25" fillId="0" borderId="7" xfId="0" applyNumberFormat="1" applyFont="1" applyBorder="1" applyAlignment="1" applyProtection="1">
      <alignment horizontal="center"/>
      <protection hidden="1"/>
    </xf>
    <xf numFmtId="170" fontId="25" fillId="0" borderId="14" xfId="0" applyNumberFormat="1" applyFont="1" applyBorder="1" applyAlignment="1" applyProtection="1">
      <alignment horizontal="center"/>
      <protection hidden="1"/>
    </xf>
    <xf numFmtId="165" fontId="23" fillId="0" borderId="0" xfId="0" applyNumberFormat="1" applyFont="1" applyProtection="1">
      <protection hidden="1"/>
    </xf>
    <xf numFmtId="165" fontId="27" fillId="0" borderId="0" xfId="0" applyNumberFormat="1" applyFont="1" applyProtection="1">
      <protection hidden="1"/>
    </xf>
    <xf numFmtId="165" fontId="25" fillId="0" borderId="8" xfId="0" applyNumberFormat="1" applyFont="1" applyBorder="1" applyAlignment="1" applyProtection="1">
      <alignment horizontal="center"/>
      <protection hidden="1"/>
    </xf>
    <xf numFmtId="43" fontId="12" fillId="0" borderId="0" xfId="1" applyFont="1" applyFill="1" applyBorder="1" applyAlignment="1" applyProtection="1">
      <alignment horizontal="left"/>
    </xf>
    <xf numFmtId="166" fontId="36" fillId="4" borderId="0" xfId="0" applyNumberFormat="1" applyFont="1" applyFill="1" applyAlignment="1">
      <alignment horizontal="center"/>
    </xf>
    <xf numFmtId="49" fontId="12" fillId="0" borderId="0" xfId="0" applyNumberFormat="1" applyFont="1" applyAlignment="1" applyProtection="1">
      <alignment horizontal="left"/>
      <protection locked="0"/>
    </xf>
    <xf numFmtId="1" fontId="58" fillId="3" borderId="3" xfId="1" applyNumberFormat="1" applyFont="1" applyFill="1" applyBorder="1" applyAlignment="1" applyProtection="1">
      <alignment horizontal="center"/>
    </xf>
    <xf numFmtId="0" fontId="58" fillId="3" borderId="3" xfId="0" applyFont="1" applyFill="1" applyBorder="1" applyAlignment="1">
      <alignment horizontal="center"/>
    </xf>
    <xf numFmtId="1" fontId="44" fillId="3" borderId="12" xfId="1" applyNumberFormat="1" applyFont="1" applyFill="1" applyBorder="1" applyAlignment="1" applyProtection="1">
      <alignment horizontal="center"/>
      <protection locked="0"/>
    </xf>
    <xf numFmtId="0" fontId="58" fillId="3" borderId="3" xfId="0" applyFont="1" applyFill="1" applyBorder="1" applyAlignment="1" applyProtection="1">
      <alignment horizontal="left"/>
      <protection locked="0"/>
    </xf>
    <xf numFmtId="167" fontId="44" fillId="3" borderId="3" xfId="0" applyNumberFormat="1" applyFont="1" applyFill="1" applyBorder="1" applyAlignment="1" applyProtection="1">
      <alignment horizontal="center"/>
      <protection locked="0"/>
    </xf>
    <xf numFmtId="167" fontId="44" fillId="3" borderId="4" xfId="0" applyNumberFormat="1" applyFont="1" applyFill="1" applyBorder="1" applyAlignment="1" applyProtection="1">
      <alignment horizontal="center"/>
      <protection locked="0"/>
    </xf>
    <xf numFmtId="1" fontId="0" fillId="2" borderId="15" xfId="1" applyNumberFormat="1" applyFont="1" applyFill="1" applyBorder="1" applyAlignment="1" applyProtection="1">
      <alignment horizontal="center"/>
    </xf>
    <xf numFmtId="1" fontId="7" fillId="0" borderId="15" xfId="1" applyNumberFormat="1" applyFont="1" applyBorder="1" applyAlignment="1" applyProtection="1">
      <alignment horizontal="left"/>
    </xf>
    <xf numFmtId="1" fontId="7" fillId="0" borderId="15" xfId="0" applyNumberFormat="1" applyFont="1" applyBorder="1" applyAlignment="1">
      <alignment horizontal="left"/>
    </xf>
    <xf numFmtId="1" fontId="7" fillId="0" borderId="15" xfId="1" applyNumberFormat="1" applyFont="1" applyFill="1" applyBorder="1" applyAlignment="1" applyProtection="1">
      <alignment horizontal="left"/>
    </xf>
    <xf numFmtId="1" fontId="58" fillId="3" borderId="16" xfId="1" applyNumberFormat="1" applyFont="1" applyFill="1" applyBorder="1" applyAlignment="1" applyProtection="1">
      <alignment horizontal="center"/>
    </xf>
    <xf numFmtId="1" fontId="44" fillId="3" borderId="16" xfId="1" applyNumberFormat="1" applyFont="1" applyFill="1" applyBorder="1" applyAlignment="1" applyProtection="1">
      <alignment horizontal="center"/>
      <protection locked="0"/>
    </xf>
    <xf numFmtId="167" fontId="16" fillId="0" borderId="15" xfId="0" applyNumberFormat="1" applyFont="1" applyBorder="1" applyAlignment="1" applyProtection="1">
      <alignment horizontal="center" vertical="center" wrapText="1"/>
      <protection locked="0"/>
    </xf>
    <xf numFmtId="1" fontId="58" fillId="3" borderId="15" xfId="0" applyNumberFormat="1" applyFont="1" applyFill="1" applyBorder="1" applyAlignment="1" applyProtection="1">
      <alignment horizontal="left"/>
      <protection locked="0"/>
    </xf>
    <xf numFmtId="0" fontId="7" fillId="2" borderId="0" xfId="0" applyFont="1" applyFill="1" applyAlignment="1">
      <alignment horizontal="center"/>
    </xf>
    <xf numFmtId="0" fontId="14" fillId="2" borderId="0" xfId="0" applyFont="1" applyFill="1" applyAlignment="1">
      <alignment horizontal="left"/>
    </xf>
    <xf numFmtId="3" fontId="0" fillId="2" borderId="0" xfId="0" applyNumberFormat="1" applyFill="1" applyAlignment="1">
      <alignment horizontal="center"/>
    </xf>
    <xf numFmtId="169" fontId="10" fillId="4" borderId="0" xfId="0" applyNumberFormat="1" applyFont="1" applyFill="1" applyAlignment="1" applyProtection="1">
      <alignment horizontal="center"/>
      <protection locked="0"/>
    </xf>
    <xf numFmtId="169" fontId="0" fillId="2" borderId="0" xfId="0" applyNumberFormat="1" applyFill="1" applyAlignment="1">
      <alignment horizontal="center"/>
    </xf>
    <xf numFmtId="164" fontId="10" fillId="2" borderId="0" xfId="1" applyNumberFormat="1" applyFont="1" applyFill="1" applyBorder="1" applyAlignment="1" applyProtection="1">
      <alignment horizontal="center"/>
    </xf>
    <xf numFmtId="0" fontId="59" fillId="2" borderId="0" xfId="0" applyFont="1" applyFill="1" applyAlignment="1">
      <alignment horizontal="left"/>
    </xf>
    <xf numFmtId="1" fontId="60" fillId="2" borderId="15" xfId="1" applyNumberFormat="1" applyFont="1" applyFill="1" applyBorder="1" applyAlignment="1" applyProtection="1">
      <alignment horizontal="center"/>
    </xf>
    <xf numFmtId="1" fontId="60" fillId="2" borderId="0" xfId="1" applyNumberFormat="1" applyFont="1" applyFill="1" applyBorder="1" applyAlignment="1" applyProtection="1">
      <alignment horizontal="center"/>
    </xf>
    <xf numFmtId="164" fontId="19" fillId="2" borderId="0" xfId="1" applyNumberFormat="1" applyFont="1" applyFill="1" applyBorder="1" applyAlignment="1" applyProtection="1">
      <alignment horizontal="left"/>
    </xf>
    <xf numFmtId="0" fontId="61" fillId="2" borderId="0" xfId="2" applyFont="1" applyFill="1" applyBorder="1" applyAlignment="1" applyProtection="1">
      <alignment horizontal="left"/>
    </xf>
    <xf numFmtId="1" fontId="63" fillId="2" borderId="15" xfId="1" applyNumberFormat="1" applyFont="1" applyFill="1" applyBorder="1" applyAlignment="1" applyProtection="1">
      <alignment horizontal="center"/>
    </xf>
    <xf numFmtId="0" fontId="64" fillId="7" borderId="17" xfId="0" applyFont="1" applyFill="1" applyBorder="1"/>
    <xf numFmtId="1" fontId="65" fillId="2" borderId="0" xfId="1" applyNumberFormat="1" applyFont="1" applyFill="1" applyBorder="1" applyAlignment="1" applyProtection="1">
      <alignment horizontal="center"/>
    </xf>
    <xf numFmtId="0" fontId="66" fillId="0" borderId="0" xfId="0" applyFont="1" applyAlignment="1">
      <alignment horizontal="center"/>
    </xf>
    <xf numFmtId="167" fontId="2" fillId="0" borderId="0" xfId="1" applyNumberFormat="1" applyFont="1" applyBorder="1" applyAlignment="1" applyProtection="1">
      <alignment horizontal="center"/>
    </xf>
    <xf numFmtId="0" fontId="67" fillId="0" borderId="0" xfId="0" applyFont="1" applyProtection="1">
      <protection locked="0"/>
    </xf>
    <xf numFmtId="43" fontId="19" fillId="0" borderId="0" xfId="1" applyFont="1" applyBorder="1" applyAlignment="1" applyProtection="1"/>
    <xf numFmtId="0" fontId="4" fillId="2" borderId="0" xfId="0" applyFont="1" applyFill="1" applyAlignment="1">
      <alignment horizontal="left"/>
    </xf>
    <xf numFmtId="0" fontId="68" fillId="0" borderId="0" xfId="0" applyFont="1" applyAlignment="1">
      <alignment horizontal="center"/>
    </xf>
    <xf numFmtId="0" fontId="69" fillId="0" borderId="0" xfId="0" applyFont="1"/>
    <xf numFmtId="0" fontId="68" fillId="0" borderId="0" xfId="0" applyFont="1"/>
    <xf numFmtId="0" fontId="70" fillId="0" borderId="0" xfId="0" applyFont="1" applyAlignment="1">
      <alignment horizontal="center"/>
    </xf>
    <xf numFmtId="0" fontId="70" fillId="0" borderId="0" xfId="0" applyFont="1"/>
    <xf numFmtId="0" fontId="71" fillId="0" borderId="0" xfId="0" applyFont="1"/>
    <xf numFmtId="15" fontId="70" fillId="0" borderId="0" xfId="0" applyNumberFormat="1" applyFont="1" applyAlignment="1">
      <alignment horizontal="center"/>
    </xf>
    <xf numFmtId="165" fontId="70" fillId="0" borderId="0" xfId="0" applyNumberFormat="1" applyFont="1"/>
    <xf numFmtId="0" fontId="72" fillId="0" borderId="0" xfId="0" applyFont="1"/>
    <xf numFmtId="0" fontId="73" fillId="0" borderId="0" xfId="0" applyFont="1" applyAlignment="1">
      <alignment horizontal="center"/>
    </xf>
    <xf numFmtId="0" fontId="74" fillId="0" borderId="0" xfId="0" applyFont="1" applyAlignment="1">
      <alignment horizontal="center"/>
    </xf>
    <xf numFmtId="0" fontId="74" fillId="0" borderId="0" xfId="0" applyFont="1"/>
    <xf numFmtId="0" fontId="75" fillId="0" borderId="0" xfId="0" applyFont="1"/>
    <xf numFmtId="15" fontId="74" fillId="0" borderId="0" xfId="0" applyNumberFormat="1" applyFont="1"/>
    <xf numFmtId="1" fontId="74" fillId="0" borderId="0" xfId="0" applyNumberFormat="1" applyFont="1" applyAlignment="1">
      <alignment horizontal="center"/>
    </xf>
    <xf numFmtId="14" fontId="74" fillId="0" borderId="0" xfId="0" applyNumberFormat="1" applyFont="1" applyAlignment="1">
      <alignment horizontal="center"/>
    </xf>
    <xf numFmtId="172" fontId="74" fillId="0" borderId="0" xfId="0" applyNumberFormat="1" applyFont="1"/>
    <xf numFmtId="0" fontId="76" fillId="0" borderId="0" xfId="0" applyFont="1" applyAlignment="1">
      <alignment horizontal="right"/>
    </xf>
    <xf numFmtId="0" fontId="76" fillId="0" borderId="0" xfId="0" applyFont="1" applyAlignment="1">
      <alignment horizontal="center"/>
    </xf>
    <xf numFmtId="0" fontId="77" fillId="0" borderId="0" xfId="0" applyFont="1"/>
    <xf numFmtId="165" fontId="74" fillId="0" borderId="0" xfId="0" applyNumberFormat="1" applyFont="1" applyAlignment="1">
      <alignment horizontal="right"/>
    </xf>
    <xf numFmtId="165" fontId="74" fillId="0" borderId="0" xfId="0" applyNumberFormat="1" applyFont="1"/>
    <xf numFmtId="0" fontId="74" fillId="0" borderId="0" xfId="0" applyFont="1" applyAlignment="1">
      <alignment horizontal="right"/>
    </xf>
    <xf numFmtId="0" fontId="73" fillId="0" borderId="0" xfId="0" applyFont="1"/>
    <xf numFmtId="165" fontId="70" fillId="0" borderId="0" xfId="0" applyNumberFormat="1" applyFont="1" applyAlignment="1">
      <alignment horizontal="center"/>
    </xf>
    <xf numFmtId="43" fontId="74" fillId="0" borderId="0" xfId="0" applyNumberFormat="1" applyFont="1" applyAlignment="1">
      <alignment horizontal="right"/>
    </xf>
    <xf numFmtId="0" fontId="77" fillId="0" borderId="0" xfId="0" applyFont="1" applyAlignment="1">
      <alignment horizontal="right"/>
    </xf>
    <xf numFmtId="165" fontId="77" fillId="0" borderId="0" xfId="0" applyNumberFormat="1" applyFont="1"/>
    <xf numFmtId="165" fontId="75" fillId="0" borderId="0" xfId="0" applyNumberFormat="1" applyFont="1"/>
    <xf numFmtId="0" fontId="74" fillId="0" borderId="0" xfId="0" applyFont="1" applyAlignment="1">
      <alignment horizontal="left"/>
    </xf>
    <xf numFmtId="43" fontId="74" fillId="0" borderId="0" xfId="0" applyNumberFormat="1" applyFont="1"/>
    <xf numFmtId="2" fontId="74" fillId="0" borderId="0" xfId="0" applyNumberFormat="1" applyFont="1"/>
    <xf numFmtId="173" fontId="74" fillId="0" borderId="0" xfId="0" applyNumberFormat="1" applyFont="1"/>
    <xf numFmtId="43" fontId="68" fillId="0" borderId="0" xfId="1" applyFont="1" applyFill="1" applyBorder="1" applyAlignment="1" applyProtection="1"/>
    <xf numFmtId="3" fontId="68" fillId="0" borderId="0" xfId="1" applyNumberFormat="1" applyFont="1" applyAlignment="1" applyProtection="1">
      <alignment horizontal="center"/>
    </xf>
    <xf numFmtId="167" fontId="74" fillId="0" borderId="0" xfId="0" applyNumberFormat="1" applyFont="1"/>
    <xf numFmtId="43" fontId="74" fillId="0" borderId="0" xfId="1" applyFont="1" applyAlignment="1" applyProtection="1"/>
    <xf numFmtId="167" fontId="74" fillId="0" borderId="0" xfId="1" applyNumberFormat="1" applyFont="1" applyAlignment="1" applyProtection="1"/>
    <xf numFmtId="167" fontId="70" fillId="0" borderId="0" xfId="0" applyNumberFormat="1" applyFont="1"/>
    <xf numFmtId="167" fontId="74" fillId="0" borderId="2" xfId="1" applyNumberFormat="1" applyFont="1" applyBorder="1" applyAlignment="1" applyProtection="1"/>
    <xf numFmtId="43" fontId="70" fillId="0" borderId="0" xfId="1" applyFont="1" applyAlignment="1" applyProtection="1"/>
    <xf numFmtId="167" fontId="70" fillId="0" borderId="0" xfId="1" applyNumberFormat="1" applyFont="1" applyBorder="1" applyAlignment="1" applyProtection="1"/>
    <xf numFmtId="43" fontId="75" fillId="0" borderId="10" xfId="1" applyFont="1" applyBorder="1" applyAlignment="1" applyProtection="1"/>
    <xf numFmtId="167" fontId="70" fillId="0" borderId="10" xfId="0" applyNumberFormat="1" applyFont="1" applyBorder="1"/>
    <xf numFmtId="0" fontId="76" fillId="0" borderId="0" xfId="0" applyFont="1"/>
    <xf numFmtId="43" fontId="68" fillId="0" borderId="0" xfId="1" applyFont="1" applyAlignment="1" applyProtection="1"/>
    <xf numFmtId="43" fontId="68" fillId="0" borderId="0" xfId="1" applyFont="1" applyAlignment="1" applyProtection="1">
      <alignment horizontal="center"/>
    </xf>
    <xf numFmtId="4" fontId="74" fillId="0" borderId="0" xfId="0" applyNumberFormat="1" applyFont="1"/>
    <xf numFmtId="167" fontId="74" fillId="0" borderId="0" xfId="0" applyNumberFormat="1" applyFont="1" applyAlignment="1">
      <alignment horizontal="right"/>
    </xf>
    <xf numFmtId="167" fontId="70" fillId="0" borderId="10" xfId="1" applyNumberFormat="1" applyFont="1" applyBorder="1" applyAlignment="1" applyProtection="1"/>
    <xf numFmtId="0" fontId="75" fillId="0" borderId="0" xfId="0" applyFont="1" applyAlignment="1">
      <alignment horizontal="center"/>
    </xf>
    <xf numFmtId="0" fontId="78" fillId="0" borderId="0" xfId="0" applyFont="1" applyAlignment="1">
      <alignment horizontal="center"/>
    </xf>
    <xf numFmtId="0" fontId="78" fillId="0" borderId="0" xfId="0" applyFont="1" applyAlignment="1">
      <alignment horizontal="left"/>
    </xf>
    <xf numFmtId="0" fontId="74" fillId="0" borderId="0" xfId="0" applyFont="1" applyProtection="1">
      <protection locked="0"/>
    </xf>
    <xf numFmtId="0" fontId="75" fillId="0" borderId="0" xfId="0" applyFont="1" applyAlignment="1" applyProtection="1">
      <alignment horizontal="center"/>
      <protection locked="0"/>
    </xf>
    <xf numFmtId="0" fontId="75" fillId="0" borderId="0" xfId="0" applyFont="1" applyAlignment="1" applyProtection="1">
      <alignment horizontal="left"/>
      <protection locked="0"/>
    </xf>
    <xf numFmtId="0" fontId="78" fillId="0" borderId="0" xfId="0" applyFont="1" applyAlignment="1" applyProtection="1">
      <alignment horizontal="center"/>
      <protection locked="0"/>
    </xf>
    <xf numFmtId="0" fontId="75" fillId="0" borderId="0" xfId="0" applyFont="1" applyAlignment="1" applyProtection="1">
      <alignment horizontal="center" vertical="center" wrapText="1"/>
      <protection locked="0"/>
    </xf>
    <xf numFmtId="167" fontId="75" fillId="0" borderId="0" xfId="0" applyNumberFormat="1" applyFont="1" applyAlignment="1" applyProtection="1">
      <alignment horizontal="center" vertical="center" wrapText="1"/>
      <protection locked="0"/>
    </xf>
    <xf numFmtId="167" fontId="77" fillId="0" borderId="0" xfId="1" applyNumberFormat="1" applyFont="1" applyAlignment="1" applyProtection="1">
      <alignment horizontal="right"/>
      <protection locked="0"/>
    </xf>
    <xf numFmtId="172" fontId="77" fillId="0" borderId="0" xfId="0" applyNumberFormat="1" applyFont="1" applyAlignment="1" applyProtection="1">
      <alignment horizontal="center"/>
      <protection locked="0"/>
    </xf>
    <xf numFmtId="167" fontId="77" fillId="0" borderId="10" xfId="1" applyNumberFormat="1" applyFont="1" applyBorder="1" applyAlignment="1" applyProtection="1">
      <alignment horizontal="right"/>
      <protection locked="0"/>
    </xf>
    <xf numFmtId="167" fontId="75" fillId="0" borderId="10" xfId="0" applyNumberFormat="1" applyFont="1" applyBorder="1" applyAlignment="1" applyProtection="1">
      <alignment horizontal="center"/>
      <protection locked="0"/>
    </xf>
    <xf numFmtId="4" fontId="74" fillId="0" borderId="0" xfId="0" applyNumberFormat="1" applyFont="1" applyProtection="1">
      <protection locked="0"/>
    </xf>
    <xf numFmtId="0" fontId="78" fillId="0" borderId="0" xfId="0" applyFont="1" applyProtection="1">
      <protection locked="0"/>
    </xf>
    <xf numFmtId="167" fontId="74" fillId="0" borderId="0" xfId="0" applyNumberFormat="1" applyFont="1" applyProtection="1">
      <protection locked="0"/>
    </xf>
    <xf numFmtId="0" fontId="78" fillId="0" borderId="0" xfId="0" applyFont="1" applyAlignment="1" applyProtection="1">
      <alignment horizontal="left"/>
      <protection locked="0"/>
    </xf>
    <xf numFmtId="0" fontId="74" fillId="2" borderId="0" xfId="0" applyFont="1" applyFill="1" applyAlignment="1">
      <alignment horizontal="center"/>
    </xf>
    <xf numFmtId="0" fontId="77" fillId="2" borderId="0" xfId="0" applyFont="1" applyFill="1" applyAlignment="1">
      <alignment horizontal="center"/>
    </xf>
    <xf numFmtId="3" fontId="74" fillId="2" borderId="0" xfId="0" applyNumberFormat="1" applyFont="1" applyFill="1" applyAlignment="1">
      <alignment horizontal="center"/>
    </xf>
    <xf numFmtId="169" fontId="74" fillId="2" borderId="0" xfId="0" applyNumberFormat="1" applyFont="1" applyFill="1" applyAlignment="1">
      <alignment horizontal="center"/>
    </xf>
    <xf numFmtId="3" fontId="68" fillId="2" borderId="0" xfId="0" applyNumberFormat="1" applyFont="1" applyFill="1" applyAlignment="1">
      <alignment horizontal="center"/>
    </xf>
    <xf numFmtId="167" fontId="77" fillId="2" borderId="0" xfId="0" applyNumberFormat="1" applyFont="1" applyFill="1" applyAlignment="1">
      <alignment horizontal="center"/>
    </xf>
    <xf numFmtId="167" fontId="75" fillId="2" borderId="0" xfId="0" applyNumberFormat="1" applyFont="1" applyFill="1" applyAlignment="1">
      <alignment horizontal="center"/>
    </xf>
    <xf numFmtId="167" fontId="77" fillId="2" borderId="0" xfId="0" applyNumberFormat="1" applyFont="1" applyFill="1" applyAlignment="1" applyProtection="1">
      <alignment horizontal="center"/>
      <protection locked="0"/>
    </xf>
    <xf numFmtId="0" fontId="75" fillId="2" borderId="0" xfId="0" applyFont="1" applyFill="1" applyAlignment="1" applyProtection="1">
      <alignment horizontal="center" vertical="center" wrapText="1"/>
      <protection locked="0"/>
    </xf>
    <xf numFmtId="0" fontId="70" fillId="2" borderId="0" xfId="0" applyFont="1" applyFill="1" applyProtection="1">
      <protection locked="0"/>
    </xf>
    <xf numFmtId="167" fontId="75" fillId="2" borderId="0" xfId="0" applyNumberFormat="1" applyFont="1" applyFill="1" applyAlignment="1" applyProtection="1">
      <alignment horizontal="center"/>
      <protection locked="0"/>
    </xf>
    <xf numFmtId="1" fontId="74" fillId="2" borderId="1" xfId="1" applyNumberFormat="1" applyFont="1" applyFill="1" applyBorder="1" applyAlignment="1" applyProtection="1">
      <alignment horizontal="center"/>
    </xf>
    <xf numFmtId="1" fontId="74" fillId="2" borderId="0" xfId="1" applyNumberFormat="1" applyFont="1" applyFill="1" applyBorder="1" applyAlignment="1" applyProtection="1">
      <alignment horizontal="center"/>
    </xf>
    <xf numFmtId="1" fontId="79" fillId="3" borderId="15" xfId="1" applyNumberFormat="1" applyFont="1" applyFill="1" applyBorder="1" applyAlignment="1" applyProtection="1"/>
    <xf numFmtId="43" fontId="6" fillId="4" borderId="0" xfId="1" applyFont="1" applyFill="1" applyBorder="1" applyAlignment="1" applyProtection="1">
      <alignment horizontal="center"/>
      <protection locked="0"/>
    </xf>
    <xf numFmtId="0" fontId="0" fillId="0" borderId="0" xfId="0" applyAlignment="1">
      <alignment horizontal="left"/>
    </xf>
    <xf numFmtId="0" fontId="0" fillId="0" borderId="0" xfId="0" applyAlignment="1">
      <alignment horizontal="left" indent="12"/>
    </xf>
    <xf numFmtId="1" fontId="44" fillId="3" borderId="16" xfId="1" applyNumberFormat="1" applyFont="1" applyFill="1" applyBorder="1" applyAlignment="1" applyProtection="1">
      <alignment horizontal="left"/>
    </xf>
    <xf numFmtId="1" fontId="58" fillId="3" borderId="15" xfId="1" applyNumberFormat="1" applyFont="1" applyFill="1" applyBorder="1" applyAlignment="1" applyProtection="1">
      <alignment horizontal="center"/>
    </xf>
    <xf numFmtId="1" fontId="58" fillId="3" borderId="0" xfId="1" applyNumberFormat="1" applyFont="1" applyFill="1" applyAlignment="1" applyProtection="1">
      <alignment horizontal="center"/>
    </xf>
    <xf numFmtId="43" fontId="58" fillId="3" borderId="0" xfId="1" applyFont="1" applyFill="1" applyBorder="1" applyAlignment="1" applyProtection="1"/>
    <xf numFmtId="43" fontId="58" fillId="3" borderId="0" xfId="1" applyFont="1" applyFill="1" applyBorder="1" applyAlignment="1" applyProtection="1">
      <alignment horizontal="center"/>
    </xf>
    <xf numFmtId="3" fontId="56" fillId="3" borderId="0" xfId="0" applyNumberFormat="1" applyFont="1" applyFill="1" applyAlignment="1">
      <alignment horizontal="center"/>
    </xf>
    <xf numFmtId="43" fontId="1" fillId="0" borderId="0" xfId="1" applyFont="1" applyAlignment="1" applyProtection="1">
      <alignment horizontal="left" indent="11"/>
    </xf>
    <xf numFmtId="43" fontId="1" fillId="0" borderId="11" xfId="1" applyFont="1" applyBorder="1" applyAlignment="1" applyProtection="1">
      <alignment horizontal="left" indent="11"/>
    </xf>
    <xf numFmtId="43" fontId="1" fillId="0" borderId="0" xfId="1" applyFont="1" applyBorder="1" applyAlignment="1" applyProtection="1">
      <alignment horizontal="left" indent="11"/>
    </xf>
    <xf numFmtId="1" fontId="74" fillId="0" borderId="0" xfId="1" applyNumberFormat="1" applyFont="1" applyFill="1" applyBorder="1" applyAlignment="1" applyProtection="1">
      <alignment horizontal="center"/>
    </xf>
    <xf numFmtId="1" fontId="81" fillId="3" borderId="0" xfId="1" applyNumberFormat="1" applyFont="1" applyFill="1" applyBorder="1" applyAlignment="1" applyProtection="1">
      <alignment horizontal="center"/>
    </xf>
    <xf numFmtId="43" fontId="82" fillId="3" borderId="0" xfId="1" applyFont="1" applyFill="1" applyAlignment="1" applyProtection="1"/>
    <xf numFmtId="167" fontId="81" fillId="3" borderId="0" xfId="1" applyNumberFormat="1" applyFont="1" applyFill="1" applyAlignment="1" applyProtection="1">
      <alignment horizontal="center"/>
    </xf>
    <xf numFmtId="0" fontId="81" fillId="3" borderId="0" xfId="0" applyFont="1" applyFill="1" applyAlignment="1">
      <alignment horizontal="center"/>
    </xf>
    <xf numFmtId="167" fontId="83" fillId="3" borderId="0" xfId="0" applyNumberFormat="1" applyFont="1" applyFill="1" applyAlignment="1">
      <alignment horizontal="center"/>
    </xf>
    <xf numFmtId="1" fontId="58" fillId="3" borderId="0" xfId="0" applyNumberFormat="1" applyFont="1" applyFill="1" applyProtection="1">
      <protection locked="0"/>
    </xf>
    <xf numFmtId="164" fontId="9" fillId="0" borderId="0" xfId="1" applyNumberFormat="1" applyFont="1" applyFill="1" applyBorder="1" applyAlignment="1" applyProtection="1">
      <alignment horizontal="left"/>
    </xf>
    <xf numFmtId="164" fontId="14" fillId="0" borderId="0" xfId="1" applyNumberFormat="1" applyFont="1" applyFill="1" applyBorder="1" applyAlignment="1" applyProtection="1">
      <alignment horizontal="left"/>
    </xf>
    <xf numFmtId="1" fontId="74" fillId="0" borderId="0" xfId="0" applyNumberFormat="1" applyFont="1" applyAlignment="1">
      <alignment horizontal="left"/>
    </xf>
    <xf numFmtId="1" fontId="85" fillId="2" borderId="15" xfId="1" applyNumberFormat="1" applyFont="1" applyFill="1" applyBorder="1" applyAlignment="1" applyProtection="1">
      <alignment horizontal="center"/>
    </xf>
    <xf numFmtId="0" fontId="19" fillId="0" borderId="0" xfId="0" applyFont="1" applyAlignment="1">
      <alignment horizontal="left"/>
    </xf>
    <xf numFmtId="0" fontId="84" fillId="0" borderId="0" xfId="0" applyFont="1" applyAlignment="1">
      <alignment horizontal="left" vertical="center" wrapText="1"/>
    </xf>
    <xf numFmtId="167" fontId="80" fillId="0" borderId="0" xfId="1" applyNumberFormat="1" applyFont="1" applyBorder="1" applyAlignment="1" applyProtection="1">
      <alignment horizontal="center"/>
    </xf>
    <xf numFmtId="0" fontId="86" fillId="0" borderId="0" xfId="0" applyFont="1"/>
    <xf numFmtId="164" fontId="86" fillId="0" borderId="0" xfId="1" applyNumberFormat="1" applyFont="1" applyBorder="1" applyAlignment="1" applyProtection="1">
      <alignment horizontal="center"/>
    </xf>
    <xf numFmtId="164" fontId="86" fillId="0" borderId="0" xfId="0" applyNumberFormat="1" applyFont="1"/>
    <xf numFmtId="164" fontId="64" fillId="5" borderId="0" xfId="0" applyNumberFormat="1" applyFont="1" applyFill="1"/>
    <xf numFmtId="43" fontId="74" fillId="0" borderId="0" xfId="1" applyFont="1" applyAlignment="1" applyProtection="1">
      <alignment horizontal="left"/>
    </xf>
    <xf numFmtId="167" fontId="19" fillId="0" borderId="0" xfId="0" applyNumberFormat="1" applyFont="1" applyAlignment="1">
      <alignment horizontal="center"/>
    </xf>
    <xf numFmtId="0" fontId="19" fillId="3" borderId="0" xfId="0" applyFont="1" applyFill="1" applyAlignment="1" applyProtection="1">
      <alignment horizontal="left" vertical="center" wrapText="1" indent="11"/>
      <protection locked="0"/>
    </xf>
    <xf numFmtId="167" fontId="56" fillId="3" borderId="0" xfId="0" applyNumberFormat="1" applyFont="1" applyFill="1" applyAlignment="1" applyProtection="1">
      <alignment horizontal="center" vertical="center" wrapText="1"/>
      <protection locked="0"/>
    </xf>
    <xf numFmtId="0" fontId="62" fillId="0" borderId="0" xfId="0" applyFont="1" applyAlignment="1">
      <alignment horizontal="center"/>
    </xf>
    <xf numFmtId="167" fontId="87" fillId="2" borderId="0" xfId="0" applyNumberFormat="1" applyFont="1" applyFill="1" applyAlignment="1">
      <alignment horizontal="center"/>
    </xf>
    <xf numFmtId="43" fontId="74" fillId="0" borderId="10" xfId="1" applyFont="1" applyBorder="1" applyAlignment="1" applyProtection="1"/>
    <xf numFmtId="167" fontId="74" fillId="0" borderId="10" xfId="0" applyNumberFormat="1" applyFont="1" applyBorder="1"/>
    <xf numFmtId="43" fontId="12" fillId="0" borderId="0" xfId="1" applyFont="1" applyBorder="1" applyAlignment="1" applyProtection="1">
      <alignment horizontal="left" indent="11"/>
    </xf>
    <xf numFmtId="43" fontId="4" fillId="0" borderId="10" xfId="1" applyFont="1" applyBorder="1" applyAlignment="1" applyProtection="1">
      <alignment horizontal="left" indent="11"/>
    </xf>
    <xf numFmtId="43" fontId="88" fillId="0" borderId="0" xfId="1" applyFont="1" applyBorder="1" applyAlignment="1" applyProtection="1">
      <alignment horizontal="left" indent="11"/>
    </xf>
    <xf numFmtId="165" fontId="88" fillId="0" borderId="0" xfId="1" applyNumberFormat="1" applyFont="1" applyBorder="1" applyAlignment="1" applyProtection="1">
      <alignment horizontal="right"/>
    </xf>
    <xf numFmtId="165" fontId="12" fillId="0" borderId="0" xfId="1" applyNumberFormat="1" applyFont="1" applyBorder="1" applyAlignment="1" applyProtection="1">
      <alignment horizontal="right"/>
    </xf>
    <xf numFmtId="165" fontId="4" fillId="0" borderId="10" xfId="1" applyNumberFormat="1" applyFont="1" applyBorder="1" applyAlignment="1" applyProtection="1">
      <alignment horizontal="right"/>
    </xf>
    <xf numFmtId="3" fontId="1" fillId="0" borderId="0" xfId="1" applyNumberFormat="1" applyFont="1" applyAlignment="1" applyProtection="1">
      <alignment horizontal="right"/>
    </xf>
    <xf numFmtId="3" fontId="1" fillId="0" borderId="11" xfId="1" applyNumberFormat="1" applyFont="1" applyBorder="1" applyAlignment="1" applyProtection="1">
      <alignment horizontal="right"/>
    </xf>
    <xf numFmtId="3" fontId="1" fillId="0" borderId="18" xfId="1" applyNumberFormat="1" applyFont="1" applyBorder="1" applyAlignment="1" applyProtection="1">
      <alignment horizontal="right"/>
    </xf>
    <xf numFmtId="43" fontId="2" fillId="0" borderId="0" xfId="1" applyFont="1" applyBorder="1" applyAlignment="1" applyProtection="1">
      <alignment horizontal="left" indent="11"/>
    </xf>
    <xf numFmtId="3" fontId="2" fillId="0" borderId="0" xfId="1" applyNumberFormat="1" applyFont="1" applyBorder="1" applyAlignment="1" applyProtection="1">
      <alignment horizontal="right"/>
    </xf>
    <xf numFmtId="164" fontId="12" fillId="4" borderId="0" xfId="1" applyNumberFormat="1" applyFont="1" applyFill="1" applyBorder="1" applyAlignment="1" applyProtection="1">
      <alignment horizontal="center"/>
    </xf>
    <xf numFmtId="167" fontId="20" fillId="0" borderId="0" xfId="0" applyNumberFormat="1" applyFont="1" applyAlignment="1">
      <alignment horizontal="center"/>
    </xf>
    <xf numFmtId="166" fontId="80" fillId="0" borderId="0" xfId="1" applyNumberFormat="1" applyFont="1" applyBorder="1" applyAlignment="1" applyProtection="1">
      <alignment horizontal="center"/>
    </xf>
    <xf numFmtId="0" fontId="2" fillId="0" borderId="0" xfId="0" applyFont="1" applyAlignment="1">
      <alignment horizontal="left"/>
    </xf>
    <xf numFmtId="167" fontId="77" fillId="0" borderId="0" xfId="0" applyNumberFormat="1" applyFont="1" applyAlignment="1">
      <alignment horizontal="center"/>
    </xf>
    <xf numFmtId="0" fontId="62" fillId="0" borderId="0" xfId="0" applyFont="1" applyAlignment="1">
      <alignment horizontal="left"/>
    </xf>
    <xf numFmtId="165" fontId="0" fillId="0" borderId="0" xfId="1" applyNumberFormat="1" applyFont="1" applyAlignment="1" applyProtection="1">
      <alignment horizontal="center"/>
    </xf>
    <xf numFmtId="165" fontId="2" fillId="0" borderId="10" xfId="1" applyNumberFormat="1" applyFont="1" applyBorder="1" applyAlignment="1" applyProtection="1">
      <alignment horizontal="center"/>
    </xf>
    <xf numFmtId="165" fontId="29" fillId="4" borderId="0" xfId="0" applyNumberFormat="1" applyFont="1" applyFill="1" applyAlignment="1" applyProtection="1">
      <alignment horizontal="center"/>
      <protection locked="0"/>
    </xf>
    <xf numFmtId="165" fontId="7" fillId="0" borderId="0" xfId="0" applyNumberFormat="1" applyFont="1" applyAlignment="1" applyProtection="1">
      <alignment horizontal="center"/>
      <protection locked="0"/>
    </xf>
    <xf numFmtId="165" fontId="9" fillId="0" borderId="10" xfId="0" applyNumberFormat="1" applyFont="1" applyBorder="1" applyAlignment="1" applyProtection="1">
      <alignment horizontal="center"/>
      <protection locked="0"/>
    </xf>
    <xf numFmtId="165" fontId="7" fillId="0" borderId="15" xfId="1" applyNumberFormat="1" applyFont="1" applyBorder="1" applyAlignment="1" applyProtection="1">
      <alignment horizontal="right"/>
      <protection locked="0"/>
    </xf>
    <xf numFmtId="165" fontId="74" fillId="0" borderId="0" xfId="0" applyNumberFormat="1" applyFont="1" applyAlignment="1">
      <alignment horizontal="center"/>
    </xf>
    <xf numFmtId="1" fontId="58" fillId="3" borderId="15" xfId="0" applyNumberFormat="1" applyFont="1" applyFill="1" applyBorder="1" applyAlignment="1" applyProtection="1">
      <alignment horizontal="center"/>
      <protection locked="0"/>
    </xf>
    <xf numFmtId="1" fontId="68" fillId="0" borderId="0" xfId="0" applyNumberFormat="1" applyFont="1" applyAlignment="1">
      <alignment horizontal="left"/>
    </xf>
    <xf numFmtId="0" fontId="89" fillId="0" borderId="0" xfId="0" applyFont="1" applyProtection="1">
      <protection locked="0"/>
    </xf>
    <xf numFmtId="1" fontId="90" fillId="2" borderId="0" xfId="1" applyNumberFormat="1" applyFont="1" applyFill="1" applyBorder="1" applyAlignment="1" applyProtection="1">
      <alignment horizontal="center"/>
    </xf>
    <xf numFmtId="165" fontId="0" fillId="0" borderId="0" xfId="0" applyNumberFormat="1" applyAlignment="1" applyProtection="1">
      <alignment horizontal="center"/>
      <protection locked="0"/>
    </xf>
    <xf numFmtId="0" fontId="80" fillId="0" borderId="0" xfId="0" applyFont="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21" xfId="0" applyBorder="1" applyAlignment="1">
      <alignment vertical="top" wrapText="1"/>
    </xf>
    <xf numFmtId="0" fontId="0" fillId="0" borderId="19" xfId="0" applyBorder="1" applyAlignment="1">
      <alignment vertical="top" wrapText="1"/>
    </xf>
    <xf numFmtId="0" fontId="0" fillId="0" borderId="25" xfId="0" applyBorder="1" applyAlignment="1">
      <alignment vertical="top" wrapText="1"/>
    </xf>
    <xf numFmtId="0" fontId="0" fillId="0" borderId="24" xfId="0" applyBorder="1" applyAlignment="1">
      <alignment vertical="top" wrapText="1"/>
    </xf>
    <xf numFmtId="0" fontId="80" fillId="0" borderId="0" xfId="0" applyFont="1" applyAlignment="1">
      <alignment horizontal="center" vertical="top" wrapText="1"/>
    </xf>
    <xf numFmtId="0" fontId="0" fillId="0" borderId="0" xfId="0" applyAlignment="1">
      <alignment horizontal="center" vertical="top" wrapText="1"/>
    </xf>
    <xf numFmtId="0" fontId="0" fillId="0" borderId="21" xfId="0" applyBorder="1" applyAlignment="1">
      <alignment horizontal="center" vertical="top" wrapText="1"/>
    </xf>
    <xf numFmtId="0" fontId="0" fillId="0" borderId="23" xfId="0" applyBorder="1" applyAlignment="1">
      <alignment horizontal="center" vertical="top" wrapText="1"/>
    </xf>
    <xf numFmtId="0" fontId="15" fillId="0" borderId="0" xfId="2" quotePrefix="1" applyNumberFormat="1" applyAlignment="1" applyProtection="1">
      <alignment horizontal="center" vertical="top" wrapText="1"/>
    </xf>
    <xf numFmtId="0" fontId="0" fillId="0" borderId="20" xfId="0" applyBorder="1" applyAlignment="1">
      <alignment horizontal="center" vertical="top" wrapText="1"/>
    </xf>
    <xf numFmtId="0" fontId="0" fillId="0" borderId="24" xfId="0" applyBorder="1" applyAlignment="1">
      <alignment horizontal="center" vertical="top" wrapText="1"/>
    </xf>
    <xf numFmtId="0" fontId="15" fillId="0" borderId="24" xfId="2" quotePrefix="1" applyNumberFormat="1" applyBorder="1" applyAlignment="1" applyProtection="1">
      <alignment horizontal="center" vertical="top" wrapText="1"/>
    </xf>
    <xf numFmtId="0" fontId="0" fillId="0" borderId="26" xfId="0" applyBorder="1" applyAlignment="1">
      <alignment horizontal="center" vertical="top" wrapText="1"/>
    </xf>
  </cellXfs>
  <cellStyles count="3">
    <cellStyle name="Comma" xfId="1" builtinId="3"/>
    <cellStyle name="Hyperlink" xfId="2" builtinId="8"/>
    <cellStyle name="Normal" xfId="0" builtinId="0"/>
  </cellStyles>
  <dxfs count="7">
    <dxf>
      <font>
        <strike val="0"/>
        <outline val="0"/>
        <shadow val="0"/>
        <vertAlign val="baseline"/>
        <color indexed="10"/>
        <name val="Arial"/>
        <scheme val="none"/>
      </font>
    </dxf>
    <dxf>
      <font>
        <strike val="0"/>
        <outline val="0"/>
        <shadow val="0"/>
        <vertAlign val="baseline"/>
        <color indexed="10"/>
        <name val="Arial"/>
        <scheme val="none"/>
      </font>
    </dxf>
    <dxf>
      <font>
        <b/>
        <i val="0"/>
        <strike val="0"/>
        <condense val="0"/>
        <extend val="0"/>
        <outline val="0"/>
        <shadow val="0"/>
        <u val="none"/>
        <vertAlign val="baseline"/>
        <sz val="10"/>
        <color indexed="10"/>
        <name val="Arial"/>
        <scheme val="none"/>
      </font>
      <protection locked="1" hidden="0"/>
    </dxf>
    <dxf>
      <fill>
        <patternFill>
          <bgColor indexed="10"/>
        </patternFill>
      </fill>
    </dxf>
    <dxf>
      <fill>
        <patternFill>
          <bgColor indexed="8"/>
        </patternFill>
      </fill>
    </dxf>
    <dxf>
      <fill>
        <patternFill>
          <bgColor indexed="8"/>
        </patternFill>
      </fill>
    </dxf>
    <dxf>
      <font>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142240</xdr:colOff>
      <xdr:row>0</xdr:row>
      <xdr:rowOff>223520</xdr:rowOff>
    </xdr:from>
    <xdr:to>
      <xdr:col>2</xdr:col>
      <xdr:colOff>1569720</xdr:colOff>
      <xdr:row>9</xdr:row>
      <xdr:rowOff>56679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40" y="223520"/>
          <a:ext cx="3591560" cy="1661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979170</xdr:colOff>
      <xdr:row>44</xdr:row>
      <xdr:rowOff>199390</xdr:rowOff>
    </xdr:from>
    <xdr:to>
      <xdr:col>2</xdr:col>
      <xdr:colOff>4219385</xdr:colOff>
      <xdr:row>44</xdr:row>
      <xdr:rowOff>199390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2133600" y="7993380"/>
          <a:ext cx="4259580" cy="9982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en-GB" sz="1000" b="1" i="0" u="sng" strike="noStrike" baseline="0">
              <a:solidFill>
                <a:srgbClr val="000000"/>
              </a:solidFill>
              <a:latin typeface="Arial"/>
              <a:cs typeface="Arial"/>
            </a:rPr>
            <a:t>These are the maximum estimated figures</a:t>
          </a: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Your costs may be different depending on where you stay in London and whether you have your dependent children with you in London. If you believe your costs will be different, then please adjust the weekly figures in the boxes. There is an undisclosed maximum value and if you exceed this value then your expected costs will be disallowed without full justification.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2802255</xdr:colOff>
      <xdr:row>36</xdr:row>
      <xdr:rowOff>0</xdr:rowOff>
    </xdr:from>
    <xdr:to>
      <xdr:col>6</xdr:col>
      <xdr:colOff>4773726</xdr:colOff>
      <xdr:row>41</xdr:row>
      <xdr:rowOff>76200</xdr:rowOff>
    </xdr:to>
    <xdr:sp macro="" textlink="">
      <xdr:nvSpPr>
        <xdr:cNvPr id="13326" name="Text Box 14">
          <a:extLst>
            <a:ext uri="{FF2B5EF4-FFF2-40B4-BE49-F238E27FC236}">
              <a16:creationId xmlns:a16="http://schemas.microsoft.com/office/drawing/2014/main" id="{00000000-0008-0000-0200-00000E340000}"/>
            </a:ext>
          </a:extLst>
        </xdr:cNvPr>
        <xdr:cNvSpPr txBox="1">
          <a:spLocks noChangeArrowheads="1"/>
        </xdr:cNvSpPr>
      </xdr:nvSpPr>
      <xdr:spPr bwMode="auto">
        <a:xfrm>
          <a:off x="10683240" y="6225540"/>
          <a:ext cx="1958340" cy="9144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32004" rIns="0" bIns="0" anchor="t" upright="1"/>
        <a:lstStyle/>
        <a:p>
          <a:pPr algn="l" rtl="0">
            <a:defRPr sz="1000"/>
          </a:pPr>
          <a:r>
            <a:rPr lang="en-GB" sz="1400" b="1" i="0" u="none" strike="noStrike" baseline="0">
              <a:solidFill>
                <a:srgbClr val="FF0000"/>
              </a:solidFill>
              <a:latin typeface="Arial"/>
              <a:cs typeface="Arial"/>
            </a:rPr>
            <a:t>If you don't like my rate and want to use another then put it in cell I44 -red box</a:t>
          </a:r>
        </a:p>
      </xdr:txBody>
    </xdr:sp>
    <xdr:clientData/>
  </xdr:twoCellAnchor>
  <xdr:twoCellAnchor>
    <xdr:from>
      <xdr:col>6</xdr:col>
      <xdr:colOff>4777740</xdr:colOff>
      <xdr:row>41</xdr:row>
      <xdr:rowOff>68580</xdr:rowOff>
    </xdr:from>
    <xdr:to>
      <xdr:col>7</xdr:col>
      <xdr:colOff>960120</xdr:colOff>
      <xdr:row>42</xdr:row>
      <xdr:rowOff>114300</xdr:rowOff>
    </xdr:to>
    <xdr:sp macro="" textlink="">
      <xdr:nvSpPr>
        <xdr:cNvPr id="5134" name="Line 16">
          <a:extLst>
            <a:ext uri="{FF2B5EF4-FFF2-40B4-BE49-F238E27FC236}">
              <a16:creationId xmlns:a16="http://schemas.microsoft.com/office/drawing/2014/main" id="{00000000-0008-0000-0200-00000E140000}"/>
            </a:ext>
          </a:extLst>
        </xdr:cNvPr>
        <xdr:cNvSpPr>
          <a:spLocks noChangeShapeType="1"/>
        </xdr:cNvSpPr>
      </xdr:nvSpPr>
      <xdr:spPr bwMode="auto">
        <a:xfrm>
          <a:off x="12649200" y="7132320"/>
          <a:ext cx="1165860" cy="21336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556261</xdr:colOff>
      <xdr:row>50</xdr:row>
      <xdr:rowOff>49634</xdr:rowOff>
    </xdr:from>
    <xdr:to>
      <xdr:col>1</xdr:col>
      <xdr:colOff>3627121</xdr:colOff>
      <xdr:row>57</xdr:row>
      <xdr:rowOff>80916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567941" y="9902294"/>
          <a:ext cx="3070860" cy="14181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274320</xdr:colOff>
      <xdr:row>42</xdr:row>
      <xdr:rowOff>60960</xdr:rowOff>
    </xdr:from>
    <xdr:to>
      <xdr:col>1</xdr:col>
      <xdr:colOff>3865175</xdr:colOff>
      <xdr:row>50</xdr:row>
      <xdr:rowOff>124096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286000" y="8463280"/>
          <a:ext cx="3590855" cy="16582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G8:G10" totalsRowShown="0" headerRowDxfId="2" dataDxfId="1">
  <autoFilter ref="G8:G10" xr:uid="{00000000-0009-0000-0100-000001000000}"/>
  <tableColumns count="1">
    <tableColumn id="1" xr3:uid="{00000000-0010-0000-0000-000001000000}" name="Depen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afsa.ed.gov/FAFSA/app/schoolSearch?locale=en_EN"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36"/>
  <sheetViews>
    <sheetView workbookViewId="0">
      <selection activeCell="A14" sqref="A14"/>
    </sheetView>
  </sheetViews>
  <sheetFormatPr defaultRowHeight="13.2" x14ac:dyDescent="0.25"/>
  <cols>
    <col min="1" max="1" width="122.88671875" style="85" bestFit="1" customWidth="1"/>
  </cols>
  <sheetData>
    <row r="1" spans="1:1" s="58" customFormat="1" ht="17.399999999999999" x14ac:dyDescent="0.3">
      <c r="A1" s="88" t="s">
        <v>147</v>
      </c>
    </row>
    <row r="2" spans="1:1" s="58" customFormat="1" ht="17.399999999999999" x14ac:dyDescent="0.3">
      <c r="A2" s="88"/>
    </row>
    <row r="3" spans="1:1" ht="15.6" x14ac:dyDescent="0.3">
      <c r="A3" s="86" t="s">
        <v>137</v>
      </c>
    </row>
    <row r="4" spans="1:1" x14ac:dyDescent="0.25">
      <c r="A4" s="89" t="s">
        <v>127</v>
      </c>
    </row>
    <row r="5" spans="1:1" x14ac:dyDescent="0.25">
      <c r="A5" s="89" t="s">
        <v>128</v>
      </c>
    </row>
    <row r="6" spans="1:1" x14ac:dyDescent="0.25">
      <c r="A6" s="90" t="s">
        <v>131</v>
      </c>
    </row>
    <row r="8" spans="1:1" ht="15.6" x14ac:dyDescent="0.3">
      <c r="A8" s="91" t="s">
        <v>130</v>
      </c>
    </row>
    <row r="9" spans="1:1" x14ac:dyDescent="0.25">
      <c r="A9" s="89" t="s">
        <v>129</v>
      </c>
    </row>
    <row r="10" spans="1:1" x14ac:dyDescent="0.25">
      <c r="A10" s="89" t="s">
        <v>268</v>
      </c>
    </row>
    <row r="11" spans="1:1" x14ac:dyDescent="0.25">
      <c r="A11" s="89" t="s">
        <v>269</v>
      </c>
    </row>
    <row r="12" spans="1:1" x14ac:dyDescent="0.25">
      <c r="A12" s="89"/>
    </row>
    <row r="13" spans="1:1" s="49" customFormat="1" ht="15.6" x14ac:dyDescent="0.3">
      <c r="A13" s="86" t="s">
        <v>323</v>
      </c>
    </row>
    <row r="14" spans="1:1" s="49" customFormat="1" ht="15.6" x14ac:dyDescent="0.3">
      <c r="A14" s="177" t="s">
        <v>349</v>
      </c>
    </row>
    <row r="15" spans="1:1" x14ac:dyDescent="0.25">
      <c r="A15" s="85" t="s">
        <v>165</v>
      </c>
    </row>
    <row r="16" spans="1:1" x14ac:dyDescent="0.25">
      <c r="A16" s="89" t="s">
        <v>169</v>
      </c>
    </row>
    <row r="17" spans="1:1" x14ac:dyDescent="0.25">
      <c r="A17" s="89" t="s">
        <v>271</v>
      </c>
    </row>
    <row r="18" spans="1:1" x14ac:dyDescent="0.25">
      <c r="A18" s="89" t="s">
        <v>267</v>
      </c>
    </row>
    <row r="19" spans="1:1" x14ac:dyDescent="0.25">
      <c r="A19" s="89" t="s">
        <v>168</v>
      </c>
    </row>
    <row r="20" spans="1:1" x14ac:dyDescent="0.25">
      <c r="A20" s="89" t="s">
        <v>132</v>
      </c>
    </row>
    <row r="21" spans="1:1" x14ac:dyDescent="0.25">
      <c r="A21" s="89" t="s">
        <v>133</v>
      </c>
    </row>
    <row r="22" spans="1:1" x14ac:dyDescent="0.25">
      <c r="A22" s="89" t="s">
        <v>173</v>
      </c>
    </row>
    <row r="24" spans="1:1" s="49" customFormat="1" ht="15.6" x14ac:dyDescent="0.3">
      <c r="A24" s="86" t="s">
        <v>261</v>
      </c>
    </row>
    <row r="25" spans="1:1" x14ac:dyDescent="0.25">
      <c r="A25" s="85" t="s">
        <v>262</v>
      </c>
    </row>
    <row r="26" spans="1:1" x14ac:dyDescent="0.25">
      <c r="A26" s="89" t="s">
        <v>263</v>
      </c>
    </row>
    <row r="27" spans="1:1" x14ac:dyDescent="0.25">
      <c r="A27" s="90" t="s">
        <v>264</v>
      </c>
    </row>
    <row r="29" spans="1:1" s="49" customFormat="1" ht="15.6" x14ac:dyDescent="0.3">
      <c r="A29" s="86" t="s">
        <v>266</v>
      </c>
    </row>
    <row r="30" spans="1:1" s="59" customFormat="1" x14ac:dyDescent="0.25">
      <c r="A30" s="89" t="s">
        <v>270</v>
      </c>
    </row>
    <row r="31" spans="1:1" x14ac:dyDescent="0.25">
      <c r="A31" s="89" t="s">
        <v>307</v>
      </c>
    </row>
    <row r="32" spans="1:1" s="59" customFormat="1" x14ac:dyDescent="0.25">
      <c r="A32" s="84"/>
    </row>
    <row r="33" spans="1:1" x14ac:dyDescent="0.25">
      <c r="A33" s="87" t="s">
        <v>265</v>
      </c>
    </row>
    <row r="34" spans="1:1" x14ac:dyDescent="0.25">
      <c r="A34" s="92" t="s">
        <v>154</v>
      </c>
    </row>
    <row r="35" spans="1:1" x14ac:dyDescent="0.25">
      <c r="A35" s="161" t="s">
        <v>308</v>
      </c>
    </row>
    <row r="36" spans="1:1" ht="15.6" x14ac:dyDescent="0.3">
      <c r="A36" s="162" t="s">
        <v>309</v>
      </c>
    </row>
  </sheetData>
  <sheetProtection selectLockedCells="1" selectUnlockedCells="1"/>
  <phoneticPr fontId="5" type="noConversion"/>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07"/>
  <sheetViews>
    <sheetView tabSelected="1" zoomScale="75" workbookViewId="0">
      <selection activeCell="D7" sqref="D7"/>
    </sheetView>
  </sheetViews>
  <sheetFormatPr defaultColWidth="9.109375" defaultRowHeight="13.2" x14ac:dyDescent="0.25"/>
  <cols>
    <col min="1" max="1" width="16.88671875" style="34" customWidth="1"/>
    <col min="2" max="2" width="14.6640625" style="34" customWidth="1"/>
    <col min="3" max="3" width="99.6640625" customWidth="1"/>
    <col min="4" max="4" width="31.88671875" style="16" customWidth="1"/>
    <col min="5" max="5" width="21.44140625" style="16" customWidth="1"/>
    <col min="6" max="6" width="11.88671875" style="261" customWidth="1"/>
    <col min="7" max="7" width="45.33203125" style="262" hidden="1" customWidth="1"/>
    <col min="8" max="8" width="62.33203125" style="262" hidden="1" customWidth="1"/>
    <col min="9" max="9" width="18.5546875" style="262" hidden="1" customWidth="1"/>
    <col min="10" max="10" width="20.88671875" style="262" hidden="1" customWidth="1"/>
    <col min="11" max="11" width="15.88671875" style="262" hidden="1" customWidth="1"/>
    <col min="12" max="12" width="20.5546875" style="262" hidden="1" customWidth="1"/>
    <col min="13" max="13" width="20.109375" style="262" hidden="1" customWidth="1"/>
    <col min="14" max="14" width="16.109375" style="262" hidden="1" customWidth="1"/>
    <col min="15" max="15" width="12" style="262" hidden="1" customWidth="1"/>
    <col min="16" max="16" width="7.5546875" style="262" customWidth="1"/>
    <col min="17" max="17" width="7.6640625" style="262" customWidth="1"/>
    <col min="18" max="18" width="5.44140625" style="262" customWidth="1"/>
    <col min="19" max="19" width="7.5546875" style="192" customWidth="1"/>
    <col min="20" max="24" width="9.109375" style="192"/>
  </cols>
  <sheetData>
    <row r="1" spans="1:24" s="157" customFormat="1" ht="21" x14ac:dyDescent="0.4">
      <c r="A1" s="2"/>
      <c r="B1" s="2"/>
      <c r="D1" s="4"/>
      <c r="E1" s="5"/>
      <c r="F1" s="251"/>
      <c r="G1" s="252"/>
      <c r="H1" s="252"/>
      <c r="I1" s="252"/>
      <c r="J1" s="252"/>
      <c r="K1" s="252"/>
      <c r="L1" s="253"/>
      <c r="M1" s="253"/>
      <c r="N1" s="253"/>
      <c r="O1" s="253"/>
      <c r="P1" s="253"/>
      <c r="Q1" s="253"/>
      <c r="R1" s="253"/>
      <c r="S1" s="190"/>
      <c r="T1" s="190"/>
      <c r="U1" s="190"/>
      <c r="V1" s="190"/>
      <c r="W1" s="190"/>
      <c r="X1" s="190"/>
    </row>
    <row r="2" spans="1:24" s="157" customFormat="1" ht="18" customHeight="1" x14ac:dyDescent="0.4">
      <c r="A2" s="2"/>
      <c r="B2" s="2"/>
      <c r="C2" s="3" t="s">
        <v>23</v>
      </c>
      <c r="D2" s="4"/>
      <c r="E2" s="5"/>
      <c r="F2" s="251"/>
      <c r="G2" s="253"/>
      <c r="H2" s="252"/>
      <c r="I2" s="252"/>
      <c r="J2" s="253"/>
      <c r="K2" s="253"/>
      <c r="L2" s="253"/>
      <c r="M2" s="253"/>
      <c r="N2" s="253"/>
      <c r="O2" s="253"/>
      <c r="P2" s="253"/>
      <c r="Q2" s="253"/>
      <c r="R2" s="253"/>
      <c r="S2" s="190"/>
      <c r="T2" s="190"/>
      <c r="U2" s="190"/>
      <c r="V2" s="190"/>
      <c r="W2" s="190"/>
      <c r="X2" s="190"/>
    </row>
    <row r="3" spans="1:24" s="104" customFormat="1" ht="18" customHeight="1" x14ac:dyDescent="0.4">
      <c r="A3" s="6"/>
      <c r="B3" s="6"/>
      <c r="C3" s="3" t="s">
        <v>24</v>
      </c>
      <c r="D3" s="8"/>
      <c r="E3" s="9"/>
      <c r="F3" s="254"/>
      <c r="G3" s="255"/>
      <c r="H3" s="256"/>
      <c r="I3" s="256"/>
      <c r="J3" s="255"/>
      <c r="K3" s="255"/>
      <c r="L3" s="255"/>
      <c r="M3" s="255"/>
      <c r="N3" s="255"/>
      <c r="O3" s="255"/>
      <c r="P3" s="255"/>
      <c r="Q3" s="255"/>
      <c r="R3" s="255"/>
      <c r="S3" s="191"/>
      <c r="T3" s="191"/>
      <c r="U3" s="191"/>
      <c r="V3" s="191"/>
      <c r="W3" s="191"/>
      <c r="X3" s="191"/>
    </row>
    <row r="4" spans="1:24" s="104" customFormat="1" ht="18" customHeight="1" x14ac:dyDescent="0.4">
      <c r="A4" s="6"/>
      <c r="B4" s="6"/>
      <c r="C4" s="3" t="str">
        <f>"for Academic Year "&amp; 'School DATA'!D6</f>
        <v>for Academic Year 2023/24</v>
      </c>
      <c r="E4" s="246"/>
      <c r="F4" s="254"/>
      <c r="G4" s="255"/>
      <c r="H4" s="256"/>
      <c r="I4" s="256"/>
      <c r="J4" s="255"/>
      <c r="K4" s="255"/>
      <c r="L4" s="255"/>
      <c r="M4" s="255"/>
      <c r="N4" s="255"/>
      <c r="O4" s="255"/>
      <c r="P4" s="255"/>
      <c r="Q4" s="255"/>
      <c r="R4" s="255"/>
      <c r="S4" s="191"/>
      <c r="T4" s="191"/>
      <c r="U4" s="191"/>
      <c r="V4" s="191"/>
      <c r="W4" s="191"/>
      <c r="X4" s="191"/>
    </row>
    <row r="5" spans="1:24" s="104" customFormat="1" x14ac:dyDescent="0.25">
      <c r="A5" s="6"/>
      <c r="B5" s="6"/>
      <c r="C5" s="7" t="s">
        <v>197</v>
      </c>
      <c r="F5" s="257"/>
      <c r="G5" s="255"/>
      <c r="H5" s="258">
        <f>'School DATA'!H48</f>
        <v>63677</v>
      </c>
      <c r="I5" s="259" t="s">
        <v>22</v>
      </c>
      <c r="J5" s="256"/>
      <c r="K5" s="256"/>
      <c r="L5" s="255"/>
      <c r="M5" s="255"/>
      <c r="N5" s="255"/>
      <c r="O5" s="255"/>
      <c r="P5" s="255"/>
      <c r="Q5" s="255"/>
      <c r="R5" s="255"/>
      <c r="S5" s="191"/>
      <c r="T5" s="191"/>
      <c r="U5" s="191"/>
      <c r="V5" s="191"/>
      <c r="W5" s="191"/>
      <c r="X5" s="191"/>
    </row>
    <row r="6" spans="1:24" s="104" customFormat="1" x14ac:dyDescent="0.25">
      <c r="A6" s="6"/>
      <c r="B6" s="6"/>
      <c r="C6" s="158" t="s">
        <v>289</v>
      </c>
      <c r="E6" s="102"/>
      <c r="F6" s="257"/>
      <c r="G6" s="255"/>
      <c r="H6" s="258">
        <f>'School DATA'!H50</f>
        <v>66374.35772</v>
      </c>
      <c r="I6" s="259" t="s">
        <v>140</v>
      </c>
      <c r="J6" s="256"/>
      <c r="K6" s="256"/>
      <c r="L6" s="255"/>
      <c r="M6" s="255"/>
      <c r="N6" s="255"/>
      <c r="O6" s="255"/>
      <c r="P6" s="255"/>
      <c r="Q6" s="255"/>
      <c r="R6" s="255"/>
      <c r="S6" s="191"/>
      <c r="T6" s="191"/>
      <c r="U6" s="191"/>
      <c r="V6" s="191"/>
      <c r="W6" s="191"/>
      <c r="X6" s="191"/>
    </row>
    <row r="7" spans="1:24" s="104" customFormat="1" x14ac:dyDescent="0.25">
      <c r="A7" s="6"/>
      <c r="B7" s="6"/>
      <c r="C7" s="7" t="s">
        <v>333</v>
      </c>
      <c r="D7" s="104">
        <f>IF(('School DATA'!I44&gt;0),'School DATA'!I44,'School DATA'!H44)</f>
        <v>1.35</v>
      </c>
      <c r="E7" s="206"/>
      <c r="F7" s="254"/>
      <c r="G7" s="255"/>
      <c r="H7" s="259"/>
      <c r="I7" s="256"/>
      <c r="J7" s="255"/>
      <c r="K7" s="255"/>
      <c r="L7" s="255"/>
      <c r="M7" s="255"/>
      <c r="N7" s="255"/>
      <c r="O7" s="255"/>
      <c r="P7" s="255"/>
      <c r="Q7" s="255"/>
      <c r="R7" s="255"/>
      <c r="S7" s="191"/>
      <c r="T7" s="191"/>
      <c r="U7" s="191"/>
      <c r="V7" s="191"/>
      <c r="W7" s="191"/>
      <c r="X7" s="191"/>
    </row>
    <row r="8" spans="1:24" s="104" customFormat="1" x14ac:dyDescent="0.25">
      <c r="A8" s="6"/>
      <c r="B8" s="6"/>
      <c r="C8" s="11" t="s">
        <v>171</v>
      </c>
      <c r="D8" s="10"/>
      <c r="E8" s="103"/>
      <c r="F8" s="254"/>
      <c r="G8" s="255" t="s">
        <v>64</v>
      </c>
      <c r="H8" s="260" t="s">
        <v>19</v>
      </c>
      <c r="I8" s="260" t="s">
        <v>20</v>
      </c>
      <c r="J8" s="274" t="s">
        <v>408</v>
      </c>
      <c r="K8" s="255"/>
      <c r="L8" s="255"/>
      <c r="M8" s="255"/>
      <c r="N8" s="255"/>
      <c r="O8" s="255"/>
      <c r="P8" s="255"/>
      <c r="Q8" s="255"/>
      <c r="R8" s="255"/>
      <c r="S8" s="191"/>
      <c r="T8" s="191"/>
      <c r="U8" s="191"/>
      <c r="V8" s="191"/>
      <c r="W8" s="191"/>
      <c r="X8" s="191"/>
    </row>
    <row r="9" spans="1:24" s="104" customFormat="1" x14ac:dyDescent="0.25">
      <c r="A9" s="6"/>
      <c r="B9" s="6"/>
      <c r="C9" s="11" t="s">
        <v>37</v>
      </c>
      <c r="D9" s="12">
        <f>'School DATA'!E11</f>
        <v>46</v>
      </c>
      <c r="E9" s="9"/>
      <c r="F9" s="254"/>
      <c r="G9" s="255" t="s">
        <v>62</v>
      </c>
      <c r="H9" s="261" t="s">
        <v>5</v>
      </c>
      <c r="I9" s="261">
        <v>1</v>
      </c>
      <c r="J9" s="262" t="s">
        <v>407</v>
      </c>
      <c r="K9" s="255"/>
      <c r="L9" s="255"/>
      <c r="M9" s="255"/>
      <c r="N9" s="255"/>
      <c r="O9" s="255"/>
      <c r="P9" s="255"/>
      <c r="Q9" s="255"/>
      <c r="R9" s="255"/>
      <c r="S9" s="191"/>
      <c r="T9" s="191"/>
      <c r="U9" s="191"/>
      <c r="V9" s="191"/>
      <c r="W9" s="191"/>
      <c r="X9" s="191"/>
    </row>
    <row r="10" spans="1:24" x14ac:dyDescent="0.25">
      <c r="A10" s="13"/>
      <c r="B10" s="13"/>
      <c r="C10" s="11" t="s">
        <v>38</v>
      </c>
      <c r="D10" s="12">
        <f>'School DATA'!E13</f>
        <v>52</v>
      </c>
      <c r="E10" s="9"/>
      <c r="G10" s="262" t="s">
        <v>63</v>
      </c>
      <c r="H10" s="261" t="s">
        <v>4</v>
      </c>
      <c r="I10" s="261">
        <v>2</v>
      </c>
      <c r="J10" s="262" t="s">
        <v>409</v>
      </c>
    </row>
    <row r="11" spans="1:24" ht="13.8" thickBot="1" x14ac:dyDescent="0.3">
      <c r="A11" s="13"/>
      <c r="B11" s="13"/>
      <c r="C11" s="14"/>
      <c r="D11" s="15"/>
      <c r="H11" s="261"/>
      <c r="I11" s="261" t="s">
        <v>326</v>
      </c>
      <c r="M11" s="255" t="s">
        <v>145</v>
      </c>
      <c r="N11" s="255"/>
    </row>
    <row r="12" spans="1:24" ht="18" thickBot="1" x14ac:dyDescent="0.35">
      <c r="A12" s="18"/>
      <c r="B12" s="18"/>
      <c r="C12" s="105" t="s">
        <v>292</v>
      </c>
      <c r="D12" s="18"/>
      <c r="E12" s="150"/>
      <c r="F12" s="318"/>
      <c r="G12" s="262" t="s">
        <v>293</v>
      </c>
      <c r="H12" s="263" t="s">
        <v>45</v>
      </c>
      <c r="I12" s="263" t="s">
        <v>81</v>
      </c>
      <c r="L12" s="263" t="s">
        <v>186</v>
      </c>
      <c r="M12" s="263" t="s">
        <v>86</v>
      </c>
      <c r="N12" s="255" t="s">
        <v>146</v>
      </c>
    </row>
    <row r="13" spans="1:24" ht="15.6" x14ac:dyDescent="0.3">
      <c r="A13" s="335">
        <v>1</v>
      </c>
      <c r="B13" s="335"/>
      <c r="C13" s="335" t="s">
        <v>385</v>
      </c>
      <c r="D13" s="335"/>
      <c r="E13" s="335"/>
      <c r="F13" s="335"/>
      <c r="G13" s="262" t="s">
        <v>294</v>
      </c>
      <c r="H13" s="261" t="s">
        <v>82</v>
      </c>
      <c r="I13" s="261" t="s">
        <v>83</v>
      </c>
      <c r="J13" s="264">
        <f>'School DATA'!D7</f>
        <v>45194</v>
      </c>
      <c r="L13" s="265">
        <f>COUNT(M13:M19)</f>
        <v>3</v>
      </c>
      <c r="M13" s="266">
        <f>IF(('School DATA'!D18&gt;10/10/2010),'School DATA'!D18,"")</f>
        <v>45194</v>
      </c>
      <c r="N13" s="267">
        <f>ROUND((IF((ISNUMBER(M13)),(D85/L13),"")),0)</f>
        <v>9306</v>
      </c>
      <c r="O13" s="267"/>
    </row>
    <row r="14" spans="1:24" ht="15.6" x14ac:dyDescent="0.3">
      <c r="A14" s="225" t="s">
        <v>73</v>
      </c>
      <c r="B14" s="69"/>
      <c r="C14" s="106" t="s">
        <v>371</v>
      </c>
      <c r="D14" s="19"/>
      <c r="E14" s="232"/>
      <c r="F14" s="319"/>
      <c r="H14" s="261"/>
      <c r="I14" s="261" t="s">
        <v>84</v>
      </c>
      <c r="J14" s="264">
        <f>'School DATA'!D11</f>
        <v>45504</v>
      </c>
      <c r="L14" s="261" t="s">
        <v>142</v>
      </c>
      <c r="M14" s="266">
        <f>IF(('School DATA'!D19&gt;10/10/2010),'School DATA'!D19,"")</f>
        <v>45320</v>
      </c>
      <c r="N14" s="267">
        <f>ROUND((IF((ISNUMBER(M14)),(D85/L13),"")),0)</f>
        <v>9306</v>
      </c>
    </row>
    <row r="15" spans="1:24" ht="15.6" x14ac:dyDescent="0.3">
      <c r="A15" s="226" t="s">
        <v>324</v>
      </c>
      <c r="B15" s="33"/>
      <c r="C15" s="106" t="s">
        <v>372</v>
      </c>
      <c r="D15" s="19"/>
      <c r="E15" s="232"/>
      <c r="F15" s="319"/>
      <c r="H15" s="261" t="s">
        <v>85</v>
      </c>
      <c r="I15" s="261" t="s">
        <v>83</v>
      </c>
      <c r="J15" s="264">
        <f>'School DATA'!D7</f>
        <v>45194</v>
      </c>
      <c r="L15" s="261" t="s">
        <v>143</v>
      </c>
      <c r="M15" s="266">
        <f>IF(('School DATA'!D20&gt;10/10/2010),'School DATA'!D20,"")</f>
        <v>45411</v>
      </c>
      <c r="N15" s="267">
        <f>ROUND((IF((ISNUMBER(M15)),(D85/L13),"")),0)</f>
        <v>9306</v>
      </c>
    </row>
    <row r="16" spans="1:24" ht="15" x14ac:dyDescent="0.25">
      <c r="A16" s="227" t="s">
        <v>65</v>
      </c>
      <c r="B16" s="70"/>
      <c r="C16" s="113" t="s">
        <v>122</v>
      </c>
      <c r="D16" s="19"/>
      <c r="E16" s="232"/>
      <c r="F16" s="319"/>
      <c r="H16" s="261"/>
      <c r="I16" s="261" t="s">
        <v>84</v>
      </c>
      <c r="J16" s="264">
        <f>'School DATA'!E7</f>
        <v>45558</v>
      </c>
      <c r="L16" s="261" t="s">
        <v>144</v>
      </c>
      <c r="M16" s="266" t="str">
        <f>IF(('School DATA'!D21&gt;10/10/2010),'School DATA'!D21,"")</f>
        <v/>
      </c>
      <c r="N16" s="267" t="str">
        <f>IF((ISNUMBER(M16)),(ROUND((D85/L13),0)),"")</f>
        <v/>
      </c>
      <c r="O16" s="267"/>
    </row>
    <row r="17" spans="1:24" ht="15" x14ac:dyDescent="0.25">
      <c r="A17" s="227" t="s">
        <v>66</v>
      </c>
      <c r="B17" s="70"/>
      <c r="C17" s="113" t="s">
        <v>123</v>
      </c>
      <c r="D17" s="19"/>
      <c r="E17" s="232"/>
      <c r="F17" s="319"/>
      <c r="G17" s="262" t="s">
        <v>351</v>
      </c>
      <c r="N17" s="267">
        <f>SUM(N13:N16)</f>
        <v>27918</v>
      </c>
      <c r="O17" s="267"/>
    </row>
    <row r="18" spans="1:24" ht="15" x14ac:dyDescent="0.25">
      <c r="A18" s="227" t="s">
        <v>67</v>
      </c>
      <c r="B18" s="70"/>
      <c r="C18" s="113" t="s">
        <v>124</v>
      </c>
      <c r="D18" s="19"/>
      <c r="E18" s="232"/>
      <c r="F18" s="319"/>
      <c r="G18" s="262" t="s">
        <v>352</v>
      </c>
    </row>
    <row r="19" spans="1:24" ht="15" x14ac:dyDescent="0.25">
      <c r="A19" s="227" t="s">
        <v>68</v>
      </c>
      <c r="B19" s="70"/>
      <c r="C19" s="113" t="s">
        <v>125</v>
      </c>
      <c r="D19" s="19"/>
      <c r="E19" s="232"/>
      <c r="F19" s="319"/>
      <c r="G19" s="262" t="s">
        <v>353</v>
      </c>
    </row>
    <row r="20" spans="1:24" ht="15.6" x14ac:dyDescent="0.3">
      <c r="A20" s="225" t="s">
        <v>69</v>
      </c>
      <c r="B20" s="22"/>
      <c r="C20" s="113" t="s">
        <v>195</v>
      </c>
      <c r="D20" s="19"/>
      <c r="E20" s="232"/>
      <c r="F20" s="319"/>
      <c r="G20" s="262" t="s">
        <v>354</v>
      </c>
      <c r="K20" s="263"/>
    </row>
    <row r="21" spans="1:24" ht="15" x14ac:dyDescent="0.25">
      <c r="A21" s="225" t="s">
        <v>70</v>
      </c>
      <c r="B21" s="22"/>
      <c r="C21" s="114" t="s">
        <v>196</v>
      </c>
      <c r="D21" s="19"/>
      <c r="E21" s="232"/>
      <c r="F21" s="319"/>
      <c r="G21" s="255" t="s">
        <v>332</v>
      </c>
      <c r="H21" s="255" t="s">
        <v>332</v>
      </c>
      <c r="I21" s="255" t="s">
        <v>355</v>
      </c>
      <c r="K21" s="255" t="s">
        <v>175</v>
      </c>
    </row>
    <row r="22" spans="1:24" ht="15.6" x14ac:dyDescent="0.3">
      <c r="A22" s="225" t="s">
        <v>71</v>
      </c>
      <c r="B22" s="22"/>
      <c r="C22" s="115"/>
      <c r="D22" s="19"/>
      <c r="E22" s="232"/>
      <c r="F22" s="319"/>
      <c r="G22" s="268" t="s">
        <v>8</v>
      </c>
      <c r="H22" s="269" t="s">
        <v>40</v>
      </c>
      <c r="I22" s="269" t="s">
        <v>41</v>
      </c>
      <c r="J22" s="270"/>
      <c r="K22" s="270" t="s">
        <v>8</v>
      </c>
      <c r="L22" s="269" t="s">
        <v>40</v>
      </c>
      <c r="M22" s="269" t="s">
        <v>41</v>
      </c>
      <c r="N22" s="269"/>
      <c r="O22" s="270"/>
      <c r="P22" s="270"/>
      <c r="Q22" s="270"/>
    </row>
    <row r="23" spans="1:24" ht="15.6" x14ac:dyDescent="0.3">
      <c r="A23" s="226" t="s">
        <v>72</v>
      </c>
      <c r="B23" s="33"/>
      <c r="C23" s="107" t="s">
        <v>126</v>
      </c>
      <c r="D23" s="19"/>
      <c r="E23" s="232"/>
      <c r="F23" s="319"/>
      <c r="G23" s="271">
        <f>IF(D34="Y",0,K23)</f>
        <v>0</v>
      </c>
      <c r="H23" s="271">
        <f>IF((D34="N"),K23,0)</f>
        <v>0</v>
      </c>
      <c r="I23" s="272">
        <f>IF((D34="N"),M23,0)</f>
        <v>0</v>
      </c>
      <c r="J23" s="262" t="s">
        <v>9</v>
      </c>
      <c r="K23" s="262">
        <v>0</v>
      </c>
      <c r="L23" s="270">
        <v>0</v>
      </c>
      <c r="M23" s="262">
        <v>20500</v>
      </c>
      <c r="O23" s="270"/>
      <c r="P23" s="270"/>
      <c r="Q23" s="270"/>
    </row>
    <row r="24" spans="1:24" s="1" customFormat="1" ht="15" x14ac:dyDescent="0.25">
      <c r="A24" s="225" t="s">
        <v>6</v>
      </c>
      <c r="B24" s="69"/>
      <c r="C24" s="108" t="s">
        <v>362</v>
      </c>
      <c r="D24" s="19"/>
      <c r="E24" s="232"/>
      <c r="F24" s="319"/>
      <c r="G24" s="271">
        <f>IF((AND(D34="Y",D35="N",D37=1)),K24,0)</f>
        <v>3500</v>
      </c>
      <c r="H24" s="262">
        <f>IF((AND(D34="Y",D38="D",D37=1)),L24,0)</f>
        <v>2000</v>
      </c>
      <c r="I24" s="262">
        <f>IF((AND(D34="Y",D38="I",D37=1)),M24,0)</f>
        <v>0</v>
      </c>
      <c r="J24" s="262" t="s">
        <v>10</v>
      </c>
      <c r="K24" s="262">
        <v>3500</v>
      </c>
      <c r="L24" s="262">
        <v>2000</v>
      </c>
      <c r="M24" s="262">
        <v>6000</v>
      </c>
      <c r="N24" s="262"/>
      <c r="O24" s="270"/>
      <c r="P24" s="270"/>
      <c r="Q24" s="270"/>
      <c r="R24" s="270"/>
      <c r="S24" s="193"/>
      <c r="T24" s="193"/>
      <c r="U24" s="193"/>
      <c r="V24" s="193"/>
      <c r="W24" s="193"/>
      <c r="X24" s="193"/>
    </row>
    <row r="25" spans="1:24" s="1" customFormat="1" ht="15" x14ac:dyDescent="0.25">
      <c r="A25" s="225" t="s">
        <v>334</v>
      </c>
      <c r="B25" s="69"/>
      <c r="C25" s="108"/>
      <c r="D25" s="19"/>
      <c r="E25" s="232"/>
      <c r="F25" s="318"/>
      <c r="G25" s="271">
        <f>IF((AND(D34="Y",D35="N",D37=2)),K25,0)</f>
        <v>0</v>
      </c>
      <c r="H25" s="262">
        <f>IF((AND(D34="Y",D38="D",D37=2)),L25,0)</f>
        <v>0</v>
      </c>
      <c r="I25" s="262">
        <f>IF((AND(D34="Y",D38="I",D37=2)),M25,0)</f>
        <v>0</v>
      </c>
      <c r="J25" s="262" t="s">
        <v>11</v>
      </c>
      <c r="K25" s="262">
        <v>4500</v>
      </c>
      <c r="L25" s="262">
        <v>2000</v>
      </c>
      <c r="M25" s="262">
        <v>6000</v>
      </c>
      <c r="N25" s="262"/>
      <c r="O25" s="262"/>
      <c r="P25" s="262"/>
      <c r="Q25" s="262"/>
      <c r="R25" s="270"/>
      <c r="S25" s="193"/>
      <c r="T25" s="193"/>
      <c r="U25" s="193"/>
      <c r="V25" s="193"/>
      <c r="W25" s="193"/>
      <c r="X25" s="193"/>
    </row>
    <row r="26" spans="1:24" s="1" customFormat="1" ht="15.6" x14ac:dyDescent="0.3">
      <c r="A26" s="331">
        <v>2</v>
      </c>
      <c r="B26" s="331"/>
      <c r="C26" s="331" t="s">
        <v>384</v>
      </c>
      <c r="D26" s="331"/>
      <c r="E26" s="331"/>
      <c r="F26" s="331"/>
      <c r="G26" s="271">
        <f>IF((AND(D34="Y",D35="N",D37&gt;2)),K26,0)</f>
        <v>0</v>
      </c>
      <c r="H26" s="262">
        <f>IF((AND(D34="Y",D38="D",D37&gt;2)),L26,0)</f>
        <v>0</v>
      </c>
      <c r="I26" s="262">
        <f>IF((AND(D34="Y",D38="I",D37&gt;2)),M26,0)</f>
        <v>0</v>
      </c>
      <c r="J26" s="262" t="s">
        <v>21</v>
      </c>
      <c r="K26" s="262">
        <v>5500</v>
      </c>
      <c r="L26" s="262">
        <v>2000</v>
      </c>
      <c r="M26" s="262">
        <v>7000</v>
      </c>
      <c r="N26" s="262"/>
      <c r="O26" s="262"/>
      <c r="P26" s="262"/>
      <c r="Q26" s="262"/>
      <c r="R26" s="270"/>
      <c r="S26" s="193"/>
      <c r="T26" s="193"/>
      <c r="U26" s="193"/>
      <c r="V26" s="193"/>
      <c r="W26" s="193"/>
      <c r="X26" s="193"/>
    </row>
    <row r="27" spans="1:24" ht="15.6" x14ac:dyDescent="0.3">
      <c r="A27" s="240"/>
      <c r="B27" s="240"/>
      <c r="C27" s="351" t="s">
        <v>379</v>
      </c>
      <c r="D27" s="332" t="s">
        <v>4</v>
      </c>
      <c r="E27" s="232"/>
      <c r="F27" s="318"/>
      <c r="G27" s="271">
        <f>IF((AND(D34="Y", D35="Y", D36="Y")),K27,0)</f>
        <v>0</v>
      </c>
      <c r="H27" s="262">
        <f>IF((AND(D34="Y",D35="Y",D36="Y")),I27,0)</f>
        <v>0</v>
      </c>
      <c r="I27" s="272">
        <f>IF((AND(D34="Y", D35="Y", D36="Y")),M27,0)</f>
        <v>0</v>
      </c>
      <c r="J27" s="262" t="s">
        <v>428</v>
      </c>
      <c r="K27" s="262">
        <f>K23</f>
        <v>0</v>
      </c>
      <c r="L27" s="262">
        <f>L23</f>
        <v>0</v>
      </c>
      <c r="M27" s="262">
        <f>M23</f>
        <v>20500</v>
      </c>
    </row>
    <row r="28" spans="1:24" ht="15.6" x14ac:dyDescent="0.3">
      <c r="A28" s="240"/>
      <c r="B28" s="240"/>
      <c r="C28" s="351" t="s">
        <v>381</v>
      </c>
      <c r="D28" s="332" t="s">
        <v>5</v>
      </c>
      <c r="E28" s="232"/>
      <c r="F28" s="318"/>
      <c r="G28" s="271">
        <f>MAX(G23:G27)</f>
        <v>3500</v>
      </c>
      <c r="H28" s="272"/>
      <c r="I28" s="272">
        <f>MAX(H23:I27)</f>
        <v>2000</v>
      </c>
      <c r="J28" s="255" t="s">
        <v>34</v>
      </c>
      <c r="K28" s="255"/>
      <c r="L28" s="255" t="s">
        <v>429</v>
      </c>
    </row>
    <row r="29" spans="1:24" ht="15.6" x14ac:dyDescent="0.3">
      <c r="A29" s="240"/>
      <c r="B29" s="240"/>
      <c r="C29" s="351" t="s">
        <v>380</v>
      </c>
      <c r="D29" s="332" t="s">
        <v>5</v>
      </c>
      <c r="E29" s="232"/>
      <c r="F29" s="318"/>
      <c r="G29" s="273"/>
      <c r="K29" s="255"/>
    </row>
    <row r="30" spans="1:24" ht="17.399999999999999" x14ac:dyDescent="0.3">
      <c r="A30" s="240"/>
      <c r="B30" s="397" t="str">
        <f>IF((D29="Y"),"4","")</f>
        <v/>
      </c>
      <c r="C30" s="352" t="str">
        <f>IF((D29="Y"),"Answer the questions 14-18 then proceed directly to Section 7","")</f>
        <v/>
      </c>
      <c r="D30" s="109" t="s">
        <v>5</v>
      </c>
      <c r="E30" s="232"/>
      <c r="F30" s="318"/>
      <c r="G30" s="273"/>
      <c r="H30" s="255" t="s">
        <v>176</v>
      </c>
      <c r="L30" s="274"/>
    </row>
    <row r="31" spans="1:24" ht="17.399999999999999" x14ac:dyDescent="0.3">
      <c r="A31" s="240"/>
      <c r="B31" s="240">
        <f>IF((D31="Y"),1,0)</f>
        <v>0</v>
      </c>
      <c r="C31" s="217" t="s">
        <v>373</v>
      </c>
      <c r="D31" s="109" t="s">
        <v>5</v>
      </c>
      <c r="E31" s="233" t="str">
        <f>IF((D31="Y"),"PRIVATE LOANS ONLY","")</f>
        <v/>
      </c>
      <c r="F31" s="318"/>
      <c r="G31" s="273" t="s">
        <v>39</v>
      </c>
      <c r="H31" s="275" t="s">
        <v>13</v>
      </c>
      <c r="I31" s="275" t="s">
        <v>14</v>
      </c>
      <c r="J31" s="255" t="s">
        <v>12</v>
      </c>
      <c r="K31" s="255"/>
    </row>
    <row r="32" spans="1:24" ht="15" x14ac:dyDescent="0.25">
      <c r="A32" s="240"/>
      <c r="B32" s="240"/>
      <c r="C32" t="s">
        <v>370</v>
      </c>
      <c r="D32" s="109" t="s">
        <v>5</v>
      </c>
      <c r="E32" s="238" t="str">
        <f>IF((D32="Y"),"For school codes - click below","")</f>
        <v/>
      </c>
      <c r="F32" s="318"/>
      <c r="G32" s="276">
        <f>D7</f>
        <v>1.35</v>
      </c>
      <c r="H32" s="272">
        <f>D40*G32</f>
        <v>0</v>
      </c>
      <c r="I32" s="272">
        <f>E40</f>
        <v>0</v>
      </c>
      <c r="J32" s="255" t="s">
        <v>15</v>
      </c>
      <c r="K32" s="262" t="s">
        <v>392</v>
      </c>
    </row>
    <row r="33" spans="1:24" x14ac:dyDescent="0.25">
      <c r="A33" s="240"/>
      <c r="B33" s="240">
        <f>IF((D33="N"),1,0)</f>
        <v>0</v>
      </c>
      <c r="C33" t="str">
        <f>IF((D32="Y"),"Is that school in the List of federal School Codes at the website link now showing in red box","do not adjust this line")</f>
        <v>do not adjust this line</v>
      </c>
      <c r="D33" s="109" t="s">
        <v>4</v>
      </c>
      <c r="E33" s="242" t="str">
        <f>IF((D32="Y"),"https://ifap.ed.gov/ilibrary/document-types/federal-school-code-list","")</f>
        <v/>
      </c>
      <c r="F33" s="318"/>
      <c r="G33" s="273">
        <f>G32</f>
        <v>1.35</v>
      </c>
      <c r="H33" s="272">
        <f>D41*G33</f>
        <v>0</v>
      </c>
      <c r="I33" s="272">
        <f>E41</f>
        <v>0</v>
      </c>
      <c r="J33" s="262" t="s">
        <v>16</v>
      </c>
      <c r="K33" s="262" t="s">
        <v>391</v>
      </c>
    </row>
    <row r="34" spans="1:24" x14ac:dyDescent="0.25">
      <c r="A34" s="240">
        <f>IF((D34="Y"),1,2)</f>
        <v>1</v>
      </c>
      <c r="B34" s="240"/>
      <c r="C34" s="20" t="s">
        <v>368</v>
      </c>
      <c r="D34" s="109" t="s">
        <v>4</v>
      </c>
      <c r="E34" s="250" t="str">
        <f>IF((D33="n"), "PRIVATE LOANS ONLY","")</f>
        <v/>
      </c>
      <c r="F34" s="318"/>
      <c r="G34" s="273">
        <f>G33</f>
        <v>1.35</v>
      </c>
      <c r="H34" s="272">
        <f>D42*G34</f>
        <v>0</v>
      </c>
      <c r="I34" s="272">
        <f>E42</f>
        <v>0</v>
      </c>
      <c r="J34" s="262" t="s">
        <v>17</v>
      </c>
      <c r="K34" s="262" t="s">
        <v>391</v>
      </c>
    </row>
    <row r="35" spans="1:24" x14ac:dyDescent="0.25">
      <c r="A35" s="240">
        <f>IF((D35="N"),1,2)</f>
        <v>1</v>
      </c>
      <c r="B35" s="240"/>
      <c r="C35" s="178" t="str">
        <f>IF(D34="N", "Do not adjust this line", "Are you taking an undergraduate course but at graduate/professional level? Only answer Y or N")</f>
        <v>Are you taking an undergraduate course but at graduate/professional level? Only answer Y or N</v>
      </c>
      <c r="D35" s="109" t="s">
        <v>5</v>
      </c>
      <c r="E35" s="150"/>
      <c r="F35" s="318"/>
      <c r="G35" s="273">
        <f>G34</f>
        <v>1.35</v>
      </c>
      <c r="H35" s="272">
        <f>D43*G35</f>
        <v>0</v>
      </c>
      <c r="I35" s="272">
        <f>E43</f>
        <v>0</v>
      </c>
      <c r="J35" s="262" t="s">
        <v>43</v>
      </c>
      <c r="K35" s="262" t="s">
        <v>391</v>
      </c>
    </row>
    <row r="36" spans="1:24" x14ac:dyDescent="0.25">
      <c r="A36" s="239"/>
      <c r="B36" s="240"/>
      <c r="C36" s="179" t="str">
        <f>IF((AND( D34="Y", D35="Y")), "Do you already have another undergraduate degree - answer Y or N", "Do not adjust this line" )</f>
        <v>Do not adjust this line</v>
      </c>
      <c r="D36" s="109" t="s">
        <v>5</v>
      </c>
      <c r="E36" s="150"/>
      <c r="F36" s="318"/>
      <c r="G36" s="273">
        <f>G34</f>
        <v>1.35</v>
      </c>
      <c r="H36" s="272">
        <f>D44*G36</f>
        <v>0</v>
      </c>
      <c r="I36" s="272">
        <f>E44</f>
        <v>0</v>
      </c>
      <c r="J36" s="262" t="s">
        <v>44</v>
      </c>
      <c r="K36" s="262" t="s">
        <v>391</v>
      </c>
    </row>
    <row r="37" spans="1:24" s="1" customFormat="1" ht="15" customHeight="1" x14ac:dyDescent="0.3">
      <c r="A37" s="239"/>
      <c r="B37" s="240"/>
      <c r="C37" s="179" t="s">
        <v>369</v>
      </c>
      <c r="D37" s="110">
        <v>1</v>
      </c>
      <c r="E37" s="150"/>
      <c r="F37" s="318"/>
      <c r="G37" s="277"/>
      <c r="H37" s="278"/>
      <c r="I37" s="279">
        <f>SUM(H33:I36)</f>
        <v>0</v>
      </c>
      <c r="J37" s="263" t="s">
        <v>42</v>
      </c>
      <c r="K37" s="263"/>
      <c r="L37" s="270"/>
      <c r="M37" s="270"/>
      <c r="N37" s="270"/>
      <c r="O37" s="270"/>
      <c r="P37" s="270"/>
      <c r="Q37" s="270"/>
      <c r="R37" s="270"/>
      <c r="S37" s="193"/>
      <c r="T37" s="193"/>
      <c r="U37" s="193"/>
      <c r="V37" s="193"/>
      <c r="W37" s="193"/>
      <c r="X37" s="193"/>
    </row>
    <row r="38" spans="1:24" ht="14.25" customHeight="1" x14ac:dyDescent="0.25">
      <c r="A38" s="239"/>
      <c r="B38" s="240"/>
      <c r="C38" s="20" t="s">
        <v>92</v>
      </c>
      <c r="D38" s="109" t="s">
        <v>63</v>
      </c>
      <c r="E38" s="150"/>
      <c r="F38" s="318"/>
      <c r="G38" s="273"/>
      <c r="I38" s="272"/>
    </row>
    <row r="39" spans="1:24" x14ac:dyDescent="0.25">
      <c r="A39" s="239"/>
      <c r="B39" s="240"/>
      <c r="C39" s="20" t="s">
        <v>0</v>
      </c>
      <c r="D39" s="111">
        <v>0</v>
      </c>
      <c r="E39" s="234"/>
      <c r="F39" s="318"/>
      <c r="G39" s="273"/>
      <c r="H39" s="255" t="s">
        <v>177</v>
      </c>
    </row>
    <row r="40" spans="1:24" x14ac:dyDescent="0.25">
      <c r="A40" s="239"/>
      <c r="B40" s="397" t="str">
        <f>IF((D29="Y"),"14","")</f>
        <v/>
      </c>
      <c r="C40" s="20" t="s">
        <v>290</v>
      </c>
      <c r="D40" s="112">
        <v>0</v>
      </c>
      <c r="E40" s="234"/>
      <c r="F40" s="320"/>
      <c r="G40" s="273" t="s">
        <v>18</v>
      </c>
      <c r="H40" s="271" t="s">
        <v>32</v>
      </c>
      <c r="I40" s="271" t="s">
        <v>33</v>
      </c>
      <c r="J40" s="262" t="s">
        <v>31</v>
      </c>
      <c r="K40" s="262" t="s">
        <v>387</v>
      </c>
      <c r="L40" s="262" t="s">
        <v>39</v>
      </c>
      <c r="M40" s="262" t="s">
        <v>390</v>
      </c>
    </row>
    <row r="41" spans="1:24" x14ac:dyDescent="0.25">
      <c r="A41" s="239"/>
      <c r="B41" s="397" t="str">
        <f>IF((D29="Y"),"15","")</f>
        <v/>
      </c>
      <c r="C41" s="21" t="s">
        <v>320</v>
      </c>
      <c r="D41" s="112">
        <v>0</v>
      </c>
      <c r="E41" s="235">
        <v>0</v>
      </c>
      <c r="F41" s="320"/>
      <c r="G41" s="273">
        <f>D9</f>
        <v>46</v>
      </c>
      <c r="H41" s="272">
        <f>ROUND((M41*L41*G41),0)</f>
        <v>12420</v>
      </c>
      <c r="I41" s="272">
        <f>ROUND((M41*L41*J41),0)</f>
        <v>14040</v>
      </c>
      <c r="J41" s="280">
        <f>D10</f>
        <v>52</v>
      </c>
      <c r="K41" s="353" t="str">
        <f>IF(((MAX(A34:A35))&gt;1),"P","U")</f>
        <v>U</v>
      </c>
      <c r="L41" s="281">
        <f>G32</f>
        <v>1.35</v>
      </c>
      <c r="M41" s="262">
        <f>'School DATA'!I11</f>
        <v>200</v>
      </c>
      <c r="N41" s="262" t="s">
        <v>27</v>
      </c>
    </row>
    <row r="42" spans="1:24" x14ac:dyDescent="0.25">
      <c r="A42" s="239"/>
      <c r="B42" s="397" t="str">
        <f>IF((D29="Y"),"16","")</f>
        <v/>
      </c>
      <c r="C42" s="21" t="s">
        <v>335</v>
      </c>
      <c r="D42" s="112">
        <v>0</v>
      </c>
      <c r="E42" s="236"/>
      <c r="F42" s="321"/>
      <c r="G42" s="273">
        <f>D9</f>
        <v>46</v>
      </c>
      <c r="H42" s="272">
        <f>ROUND((M42*L42*G42),0)</f>
        <v>4968</v>
      </c>
      <c r="I42" s="272">
        <f>ROUND((M42*L42*J42),0)</f>
        <v>5616</v>
      </c>
      <c r="J42" s="280">
        <f t="shared" ref="J42:L45" si="0">J41</f>
        <v>52</v>
      </c>
      <c r="K42" s="353" t="str">
        <f t="shared" si="0"/>
        <v>U</v>
      </c>
      <c r="L42" s="281">
        <f t="shared" si="0"/>
        <v>1.35</v>
      </c>
      <c r="M42" s="262">
        <f>'School DATA'!I13</f>
        <v>80</v>
      </c>
      <c r="N42" s="262" t="s">
        <v>28</v>
      </c>
    </row>
    <row r="43" spans="1:24" x14ac:dyDescent="0.25">
      <c r="A43" s="354"/>
      <c r="B43" s="397" t="str">
        <f>IF((D29="Y"),"17","")</f>
        <v/>
      </c>
      <c r="C43" s="20" t="s">
        <v>321</v>
      </c>
      <c r="D43" s="112">
        <v>0</v>
      </c>
      <c r="E43" s="236"/>
      <c r="F43" s="321"/>
      <c r="G43" s="273">
        <f>G42</f>
        <v>46</v>
      </c>
      <c r="H43" s="272">
        <f>ROUND((M43*L43*G43),0)</f>
        <v>621</v>
      </c>
      <c r="I43" s="272">
        <f>ROUND((M43*L43*J43),0)</f>
        <v>702</v>
      </c>
      <c r="J43" s="280">
        <f t="shared" si="0"/>
        <v>52</v>
      </c>
      <c r="K43" s="353" t="str">
        <f t="shared" si="0"/>
        <v>U</v>
      </c>
      <c r="L43" s="281">
        <f t="shared" si="0"/>
        <v>1.35</v>
      </c>
      <c r="M43" s="262">
        <f>'School DATA'!H14</f>
        <v>10</v>
      </c>
      <c r="N43" s="262" t="s">
        <v>29</v>
      </c>
    </row>
    <row r="44" spans="1:24" x14ac:dyDescent="0.25">
      <c r="A44" s="243" t="s">
        <v>367</v>
      </c>
      <c r="B44" s="397" t="str">
        <f>IF((D29="Y"),"18","")</f>
        <v/>
      </c>
      <c r="C44" s="20" t="s">
        <v>322</v>
      </c>
      <c r="D44" s="237"/>
      <c r="E44" s="235">
        <v>0</v>
      </c>
      <c r="F44" s="321"/>
      <c r="G44" s="273">
        <f>G43</f>
        <v>46</v>
      </c>
      <c r="H44" s="272">
        <f>ROUND((M44*L44*G44),0)</f>
        <v>1242</v>
      </c>
      <c r="I44" s="272">
        <f>ROUND((M44*L44*J44),0)</f>
        <v>1404</v>
      </c>
      <c r="J44" s="280">
        <f t="shared" si="0"/>
        <v>52</v>
      </c>
      <c r="K44" s="353" t="str">
        <f t="shared" si="0"/>
        <v>U</v>
      </c>
      <c r="L44" s="281">
        <f t="shared" si="0"/>
        <v>1.35</v>
      </c>
      <c r="M44" s="262">
        <f>'School DATA'!H15</f>
        <v>20</v>
      </c>
      <c r="N44" s="262" t="s">
        <v>30</v>
      </c>
    </row>
    <row r="45" spans="1:24" ht="15.6" x14ac:dyDescent="0.3">
      <c r="A45" s="240">
        <f>SUM(B31:B45)</f>
        <v>0</v>
      </c>
      <c r="B45" s="245">
        <f>IF((D29="Y"),1,0)</f>
        <v>0</v>
      </c>
      <c r="E45" s="241" t="str">
        <f>IF((A45&gt;0),"PRIVATE LOANS ONLY","")</f>
        <v/>
      </c>
      <c r="F45" s="321"/>
      <c r="G45" s="273">
        <f>G44</f>
        <v>46</v>
      </c>
      <c r="H45" s="272">
        <f>ROUND((M45*L45*G45),0)</f>
        <v>2484</v>
      </c>
      <c r="I45" s="272">
        <f>ROUND((M45*L45*J45),0)</f>
        <v>2808</v>
      </c>
      <c r="J45" s="280">
        <f t="shared" si="0"/>
        <v>52</v>
      </c>
      <c r="K45" s="353" t="str">
        <f t="shared" si="0"/>
        <v>U</v>
      </c>
      <c r="L45" s="281">
        <f t="shared" si="0"/>
        <v>1.35</v>
      </c>
      <c r="M45" s="262">
        <f>'School DATA'!H13</f>
        <v>40</v>
      </c>
      <c r="N45" s="262" t="s">
        <v>2</v>
      </c>
    </row>
    <row r="46" spans="1:24" ht="17.399999999999999" x14ac:dyDescent="0.3">
      <c r="A46" s="336">
        <v>3</v>
      </c>
      <c r="B46" s="337"/>
      <c r="C46" s="338" t="str">
        <f>G58</f>
        <v>Your Cost of Attendance (Values rounded)</v>
      </c>
      <c r="D46" s="339" t="str">
        <f>H59</f>
        <v>$</v>
      </c>
      <c r="E46" s="340"/>
      <c r="F46" s="320"/>
      <c r="G46" s="273"/>
      <c r="H46" s="272"/>
      <c r="I46" s="272"/>
      <c r="J46" s="280"/>
      <c r="K46" s="353">
        <f>M46*L46</f>
        <v>2700</v>
      </c>
      <c r="L46" s="281">
        <f>L45</f>
        <v>1.35</v>
      </c>
      <c r="M46" s="262">
        <f>'School DATA'!I19</f>
        <v>2000</v>
      </c>
      <c r="N46" s="362" t="s">
        <v>401</v>
      </c>
    </row>
    <row r="47" spans="1:24" ht="21" x14ac:dyDescent="0.4">
      <c r="A47" s="224"/>
      <c r="B47" s="68"/>
      <c r="C47" s="341" t="str">
        <f>G60</f>
        <v>Tuition Fees</v>
      </c>
      <c r="D47" s="376">
        <f>H60</f>
        <v>0</v>
      </c>
      <c r="E47" s="25"/>
      <c r="F47" s="322"/>
      <c r="H47" s="272"/>
      <c r="I47" s="272"/>
      <c r="K47" s="353">
        <f>M47*L47</f>
        <v>2474.5500000000002</v>
      </c>
      <c r="L47" s="281">
        <f>L46</f>
        <v>1.35</v>
      </c>
      <c r="M47" s="262">
        <f>'School DATA'!I22</f>
        <v>1833</v>
      </c>
      <c r="N47" s="262" t="s">
        <v>402</v>
      </c>
    </row>
    <row r="48" spans="1:24" ht="21" x14ac:dyDescent="0.4">
      <c r="A48" s="224"/>
      <c r="B48" s="68"/>
      <c r="C48" s="341" t="str">
        <f t="shared" ref="C48:C58" si="1">G61</f>
        <v>Room</v>
      </c>
      <c r="D48" s="376">
        <f t="shared" ref="D48:D56" si="2">H61</f>
        <v>12420</v>
      </c>
      <c r="E48" s="25"/>
      <c r="F48" s="323"/>
      <c r="H48" s="59" t="s">
        <v>420</v>
      </c>
      <c r="I48" s="272"/>
      <c r="K48" s="253" t="s">
        <v>78</v>
      </c>
    </row>
    <row r="49" spans="1:24" ht="15" x14ac:dyDescent="0.25">
      <c r="A49" s="224"/>
      <c r="B49" s="68"/>
      <c r="C49" s="341" t="str">
        <f t="shared" si="1"/>
        <v>Board</v>
      </c>
      <c r="D49" s="376">
        <f t="shared" si="2"/>
        <v>4968</v>
      </c>
      <c r="E49" s="25"/>
      <c r="F49" s="323"/>
      <c r="G49" s="281">
        <f>D7</f>
        <v>1.35</v>
      </c>
      <c r="H49" s="386" t="s">
        <v>423</v>
      </c>
      <c r="I49" s="385">
        <f>IF((E62="Allow"),D62*G49,0)</f>
        <v>0</v>
      </c>
      <c r="L49" s="262" t="s">
        <v>80</v>
      </c>
      <c r="M49" s="262" t="s">
        <v>160</v>
      </c>
      <c r="N49" s="262" t="s">
        <v>170</v>
      </c>
      <c r="O49" s="262" t="s">
        <v>162</v>
      </c>
    </row>
    <row r="50" spans="1:24" ht="15" x14ac:dyDescent="0.25">
      <c r="A50" s="224"/>
      <c r="B50" s="68"/>
      <c r="C50" s="341" t="str">
        <f t="shared" si="1"/>
        <v>Books</v>
      </c>
      <c r="D50" s="376">
        <f t="shared" si="2"/>
        <v>621</v>
      </c>
      <c r="E50" s="25"/>
      <c r="F50" s="323"/>
      <c r="G50" s="262">
        <f>G49</f>
        <v>1.35</v>
      </c>
      <c r="H50" s="386" t="s">
        <v>424</v>
      </c>
      <c r="I50" s="385">
        <f>IF((E63="Allow"),D63*G50,0)</f>
        <v>0</v>
      </c>
      <c r="K50" s="262" t="s">
        <v>79</v>
      </c>
      <c r="M50" s="262" t="s">
        <v>161</v>
      </c>
      <c r="N50" s="262" t="s">
        <v>39</v>
      </c>
      <c r="O50" s="262" t="s">
        <v>163</v>
      </c>
    </row>
    <row r="51" spans="1:24" ht="15" x14ac:dyDescent="0.25">
      <c r="A51" s="224"/>
      <c r="B51" s="68"/>
      <c r="C51" s="341" t="str">
        <f t="shared" si="1"/>
        <v>Travel</v>
      </c>
      <c r="D51" s="376">
        <f t="shared" si="2"/>
        <v>1242</v>
      </c>
      <c r="E51" s="25"/>
      <c r="F51" s="323"/>
      <c r="G51" s="262">
        <f>G50</f>
        <v>1.35</v>
      </c>
      <c r="H51" s="386" t="s">
        <v>425</v>
      </c>
      <c r="I51" s="385">
        <f>IF((E64="Allow"),D64*G51,0)</f>
        <v>0</v>
      </c>
      <c r="K51" s="262" t="s">
        <v>183</v>
      </c>
      <c r="L51" s="282">
        <f>'School DATA'!D38</f>
        <v>1.0589999999999999</v>
      </c>
      <c r="M51" s="282">
        <f>'School DATA'!E38</f>
        <v>0</v>
      </c>
      <c r="N51" s="282">
        <f>L51-M51</f>
        <v>1.0589999999999999</v>
      </c>
      <c r="O51" s="283">
        <f>N51*0.01</f>
        <v>1.059E-2</v>
      </c>
    </row>
    <row r="52" spans="1:24" ht="15" x14ac:dyDescent="0.25">
      <c r="A52" s="224"/>
      <c r="B52" s="68"/>
      <c r="C52" s="341" t="str">
        <f t="shared" si="1"/>
        <v>Personal</v>
      </c>
      <c r="D52" s="376">
        <f t="shared" si="2"/>
        <v>2484</v>
      </c>
      <c r="E52" s="25"/>
      <c r="F52" s="323"/>
      <c r="G52" s="262">
        <f>G51</f>
        <v>1.35</v>
      </c>
      <c r="H52" s="386" t="s">
        <v>426</v>
      </c>
      <c r="I52" s="385">
        <f>IF((E65="Allow"),D65*G52,0)</f>
        <v>0</v>
      </c>
      <c r="K52" s="262" t="s">
        <v>184</v>
      </c>
      <c r="L52" s="282">
        <f>'School DATA'!D39</f>
        <v>1.0589999999999999</v>
      </c>
      <c r="M52" s="282">
        <f>'School DATA'!E39</f>
        <v>0</v>
      </c>
      <c r="N52" s="282">
        <f>L52-M52</f>
        <v>1.0589999999999999</v>
      </c>
      <c r="O52" s="283">
        <f>N52*0.01</f>
        <v>1.059E-2</v>
      </c>
    </row>
    <row r="53" spans="1:24" ht="15" x14ac:dyDescent="0.25">
      <c r="A53" s="224"/>
      <c r="B53" s="68"/>
      <c r="C53" s="342" t="str">
        <f t="shared" si="1"/>
        <v>Essential flights + health for all years (plus visa and laptop if 1st year)</v>
      </c>
      <c r="D53" s="377">
        <f t="shared" si="2"/>
        <v>5174.55</v>
      </c>
      <c r="E53" s="25"/>
      <c r="F53" s="323"/>
      <c r="G53" s="262">
        <f>G52</f>
        <v>1.35</v>
      </c>
      <c r="H53" s="272"/>
      <c r="I53" s="272"/>
      <c r="K53" s="262" t="s">
        <v>185</v>
      </c>
      <c r="L53" s="282">
        <f>'School DATA'!D40</f>
        <v>4.2359999999999998</v>
      </c>
      <c r="M53" s="282">
        <f>'School DATA'!E40</f>
        <v>0</v>
      </c>
      <c r="N53" s="282">
        <f>L53-M53</f>
        <v>4.2359999999999998</v>
      </c>
      <c r="O53" s="283">
        <f>N53*0.01</f>
        <v>4.2360000000000002E-2</v>
      </c>
    </row>
    <row r="54" spans="1:24" ht="15.6" x14ac:dyDescent="0.3">
      <c r="A54" s="224"/>
      <c r="B54" s="68"/>
      <c r="C54" s="379" t="str">
        <f t="shared" si="1"/>
        <v>Total Cost of Attendance</v>
      </c>
      <c r="D54" s="380">
        <f t="shared" si="2"/>
        <v>26909.55</v>
      </c>
      <c r="E54" s="26"/>
      <c r="F54" s="323"/>
      <c r="G54" s="262">
        <f>G53</f>
        <v>1.35</v>
      </c>
      <c r="H54" s="272" t="s">
        <v>427</v>
      </c>
      <c r="I54" s="393">
        <f>SUM(I49:I53)</f>
        <v>0</v>
      </c>
    </row>
    <row r="55" spans="1:24" ht="16.2" thickBot="1" x14ac:dyDescent="0.35">
      <c r="A55" s="224"/>
      <c r="B55" s="68"/>
      <c r="C55" s="343" t="str">
        <f t="shared" si="1"/>
        <v>Adjust for Sponsorship, Awards or other Aid</v>
      </c>
      <c r="D55" s="378">
        <f t="shared" si="2"/>
        <v>0</v>
      </c>
      <c r="E55" s="25"/>
      <c r="F55" s="324"/>
      <c r="H55" s="272"/>
      <c r="I55" s="272"/>
    </row>
    <row r="56" spans="1:24" ht="15.6" thickTop="1" x14ac:dyDescent="0.25">
      <c r="A56" s="224"/>
      <c r="B56" s="68"/>
      <c r="C56" s="372" t="str">
        <f t="shared" si="1"/>
        <v>Total Cost of Attendance</v>
      </c>
      <c r="D56" s="373">
        <f t="shared" si="2"/>
        <v>26910</v>
      </c>
      <c r="E56" s="25"/>
      <c r="F56" s="323"/>
      <c r="H56" s="272"/>
    </row>
    <row r="57" spans="1:24" ht="21" x14ac:dyDescent="0.4">
      <c r="A57" s="224"/>
      <c r="B57" s="68"/>
      <c r="C57" s="370" t="str">
        <f t="shared" si="1"/>
        <v>Approved Additional Items</v>
      </c>
      <c r="D57" s="374">
        <f>I54</f>
        <v>0</v>
      </c>
      <c r="E57" s="25"/>
      <c r="F57" s="323"/>
      <c r="J57" s="253"/>
      <c r="K57" s="274" t="s">
        <v>51</v>
      </c>
      <c r="L57" s="274" t="s">
        <v>52</v>
      </c>
      <c r="M57" s="255" t="s">
        <v>187</v>
      </c>
      <c r="N57" s="255" t="s">
        <v>182</v>
      </c>
      <c r="O57" s="255"/>
    </row>
    <row r="58" spans="1:24" ht="21.6" thickBot="1" x14ac:dyDescent="0.45">
      <c r="A58" s="224"/>
      <c r="B58" s="68"/>
      <c r="C58" s="371" t="str">
        <f t="shared" si="1"/>
        <v>Final CoA including approved Additional Items</v>
      </c>
      <c r="D58" s="375">
        <f>H71</f>
        <v>26910</v>
      </c>
      <c r="F58" s="323"/>
      <c r="G58" s="284" t="s">
        <v>383</v>
      </c>
      <c r="H58" s="255"/>
      <c r="J58" s="262" t="s">
        <v>46</v>
      </c>
      <c r="K58" s="286">
        <f>H71</f>
        <v>26910</v>
      </c>
      <c r="L58" s="286"/>
      <c r="O58" s="255"/>
    </row>
    <row r="59" spans="1:24" ht="21.6" thickTop="1" x14ac:dyDescent="0.4">
      <c r="A59" s="224"/>
      <c r="B59" s="68"/>
      <c r="F59" s="323"/>
      <c r="H59" s="285" t="s">
        <v>25</v>
      </c>
      <c r="J59" s="262" t="s">
        <v>47</v>
      </c>
      <c r="K59" s="286">
        <f>-D39</f>
        <v>0</v>
      </c>
      <c r="L59" s="286"/>
      <c r="M59" s="253"/>
      <c r="O59" s="255"/>
      <c r="U59" s="190"/>
      <c r="V59" s="190"/>
    </row>
    <row r="60" spans="1:24" s="157" customFormat="1" ht="21" x14ac:dyDescent="0.4">
      <c r="A60" s="224"/>
      <c r="B60" s="68"/>
      <c r="E60" s="363" t="s">
        <v>403</v>
      </c>
      <c r="F60" s="323"/>
      <c r="G60" s="287" t="s">
        <v>26</v>
      </c>
      <c r="H60" s="288">
        <f>ROUND(H32,0)</f>
        <v>0</v>
      </c>
      <c r="I60" s="262"/>
      <c r="J60" s="262" t="s">
        <v>50</v>
      </c>
      <c r="K60" s="286">
        <f>IF((SUM(K58:K59)&gt;0),(SUM(K58:K59)),0)</f>
        <v>26910</v>
      </c>
      <c r="L60" s="286"/>
      <c r="M60" s="262"/>
      <c r="N60" s="286">
        <f>IF((K60&lt;K62),(K62-K60),0)</f>
        <v>0</v>
      </c>
      <c r="O60" s="262"/>
      <c r="P60" s="253"/>
      <c r="Q60" s="253"/>
      <c r="R60" s="253"/>
      <c r="S60" s="190"/>
      <c r="W60" s="190"/>
      <c r="X60" s="190"/>
    </row>
    <row r="61" spans="1:24" ht="15.6" x14ac:dyDescent="0.3">
      <c r="A61" s="224"/>
      <c r="B61" s="68"/>
      <c r="C61" s="355" t="s">
        <v>388</v>
      </c>
      <c r="D61" s="357" t="s">
        <v>419</v>
      </c>
      <c r="E61" s="366" t="s">
        <v>410</v>
      </c>
      <c r="F61" s="367"/>
      <c r="G61" s="287" t="s">
        <v>27</v>
      </c>
      <c r="H61" s="288">
        <f>ROUND((IF(K41="P",I41,H41)),0)</f>
        <v>12420</v>
      </c>
      <c r="J61" s="262" t="s">
        <v>181</v>
      </c>
      <c r="K61" s="286">
        <f>IF((D29="Y"),0,G28)</f>
        <v>3500</v>
      </c>
      <c r="L61" s="286"/>
    </row>
    <row r="62" spans="1:24" ht="15" x14ac:dyDescent="0.25">
      <c r="A62" s="224"/>
      <c r="B62" s="68"/>
      <c r="C62" s="333" t="s">
        <v>404</v>
      </c>
      <c r="D62" s="381">
        <v>0</v>
      </c>
      <c r="E62" s="25" t="s">
        <v>407</v>
      </c>
      <c r="F62" s="323"/>
      <c r="G62" s="287" t="s">
        <v>28</v>
      </c>
      <c r="H62" s="288">
        <f>ROUND((IF(K42="P",I42,H42)),0)</f>
        <v>4968</v>
      </c>
      <c r="J62" s="255" t="s">
        <v>48</v>
      </c>
      <c r="K62" s="289">
        <f>IF((((K60/(100-N51))*100)&lt;K61),((K60/(100-N51))*100),K61)</f>
        <v>3500</v>
      </c>
      <c r="L62" s="286"/>
      <c r="M62" s="262">
        <f>IF((N60&gt;0),0,(K62*O51))</f>
        <v>37.065000000000005</v>
      </c>
    </row>
    <row r="63" spans="1:24" ht="15" x14ac:dyDescent="0.25">
      <c r="A63" s="224"/>
      <c r="B63" s="68"/>
      <c r="C63" s="333" t="s">
        <v>405</v>
      </c>
      <c r="D63" s="381">
        <v>0</v>
      </c>
      <c r="E63" s="25" t="s">
        <v>407</v>
      </c>
      <c r="F63" s="323"/>
      <c r="G63" s="287" t="s">
        <v>29</v>
      </c>
      <c r="H63" s="288">
        <f>ROUND((IF(K43="P",I43,H43)),0)</f>
        <v>621</v>
      </c>
      <c r="K63" s="286"/>
      <c r="L63" s="286"/>
      <c r="P63" s="286"/>
    </row>
    <row r="64" spans="1:24" ht="15" x14ac:dyDescent="0.25">
      <c r="A64" s="224"/>
      <c r="B64" s="68"/>
      <c r="C64" s="333" t="s">
        <v>406</v>
      </c>
      <c r="D64" s="381">
        <v>0</v>
      </c>
      <c r="E64" s="25" t="s">
        <v>407</v>
      </c>
      <c r="F64" s="323"/>
      <c r="G64" s="287" t="s">
        <v>30</v>
      </c>
      <c r="H64" s="288">
        <f>ROUND((IF(K44="P",I44,H44)),0)</f>
        <v>1242</v>
      </c>
      <c r="J64" s="262" t="s">
        <v>54</v>
      </c>
      <c r="K64" s="286"/>
      <c r="L64" s="286">
        <f>IF((N60&gt;0),(K58+N60-K62),(K58-K62+M62))</f>
        <v>23447.064999999999</v>
      </c>
      <c r="N64" s="286">
        <f>IF((((L66-L64)&gt;0)),(L66-L64),0)</f>
        <v>0</v>
      </c>
    </row>
    <row r="65" spans="1:24" ht="15" x14ac:dyDescent="0.25">
      <c r="A65" s="224"/>
      <c r="B65" s="68"/>
      <c r="C65" s="333" t="s">
        <v>389</v>
      </c>
      <c r="D65" s="381">
        <v>0</v>
      </c>
      <c r="E65" s="25" t="s">
        <v>407</v>
      </c>
      <c r="F65" s="323"/>
      <c r="G65" s="287" t="s">
        <v>2</v>
      </c>
      <c r="H65" s="288">
        <f>ROUND((IF(K45="P",I45,H45)),0)</f>
        <v>2484</v>
      </c>
      <c r="J65" s="262" t="s">
        <v>53</v>
      </c>
      <c r="K65" s="286"/>
      <c r="L65" s="286">
        <f>IF((D29="Y"),0,(G28+I28-K62))</f>
        <v>2000</v>
      </c>
    </row>
    <row r="66" spans="1:24" ht="15.6" thickBot="1" x14ac:dyDescent="0.3">
      <c r="A66" s="224"/>
      <c r="B66" s="68"/>
      <c r="C66" s="356" t="s">
        <v>418</v>
      </c>
      <c r="D66" s="357"/>
      <c r="E66" s="25"/>
      <c r="F66" s="323"/>
      <c r="G66" s="287" t="s">
        <v>433</v>
      </c>
      <c r="H66" s="290">
        <f>IF((D37=1),(K46+K47),K46)</f>
        <v>5174.55</v>
      </c>
      <c r="J66" s="255" t="s">
        <v>49</v>
      </c>
      <c r="K66" s="289"/>
      <c r="L66" s="289">
        <f>IF((((L64/(100-N52))*100)&lt;L65),((L64/(100-N52))*100),L65)</f>
        <v>2000</v>
      </c>
      <c r="M66" s="262">
        <f>+IF((N64&gt;0),0,(L66*O52))</f>
        <v>21.18</v>
      </c>
    </row>
    <row r="67" spans="1:24" ht="15" x14ac:dyDescent="0.25">
      <c r="A67" s="224"/>
      <c r="B67" s="68"/>
      <c r="C67" s="384" t="s">
        <v>434</v>
      </c>
      <c r="D67" s="383">
        <f>SUM(D62:D65)</f>
        <v>0</v>
      </c>
      <c r="E67" s="382">
        <f>I54</f>
        <v>0</v>
      </c>
      <c r="F67" s="323"/>
      <c r="G67" s="291" t="s">
        <v>36</v>
      </c>
      <c r="H67" s="292">
        <f>SUM(H60:H66)</f>
        <v>26909.55</v>
      </c>
      <c r="K67" s="286"/>
      <c r="L67" s="286"/>
      <c r="Q67" s="255"/>
      <c r="R67" s="255"/>
      <c r="S67" s="191"/>
    </row>
    <row r="68" spans="1:24" ht="15.6" x14ac:dyDescent="0.3">
      <c r="A68" s="224"/>
      <c r="B68" s="68"/>
      <c r="C68" s="249" t="str">
        <f>IF(((SUM(B31:B34))&gt;0),"As you will be in places not allowed by your government you are not entitled to Federal Loans - only private loans","")</f>
        <v/>
      </c>
      <c r="D68" s="247"/>
      <c r="E68" s="25"/>
      <c r="F68" s="323"/>
      <c r="G68" s="287" t="s">
        <v>57</v>
      </c>
      <c r="H68" s="288">
        <f>ROUND((-I37),0)</f>
        <v>0</v>
      </c>
      <c r="J68" s="255" t="s">
        <v>178</v>
      </c>
      <c r="K68" s="286"/>
      <c r="L68" s="286"/>
      <c r="M68" s="255"/>
      <c r="N68" s="274"/>
    </row>
    <row r="69" spans="1:24" s="104" customFormat="1" ht="21.6" thickBot="1" x14ac:dyDescent="0.45">
      <c r="A69" s="336">
        <v>4</v>
      </c>
      <c r="B69" s="345"/>
      <c r="C69" s="346" t="s">
        <v>382</v>
      </c>
      <c r="D69" s="347"/>
      <c r="E69" s="348"/>
      <c r="F69" s="349"/>
      <c r="G69" s="293" t="s">
        <v>36</v>
      </c>
      <c r="H69" s="294">
        <f>ROUND((SUM(H67:H68)),0)</f>
        <v>26910</v>
      </c>
      <c r="I69" s="262"/>
      <c r="J69" s="262" t="s">
        <v>179</v>
      </c>
      <c r="K69" s="286">
        <f>IF((N64=0),(K58-K62-L66+M62+M66),0)</f>
        <v>21468.244999999999</v>
      </c>
      <c r="L69" s="286"/>
      <c r="M69" s="295"/>
      <c r="N69" s="295"/>
      <c r="O69" s="301"/>
      <c r="P69" s="255"/>
      <c r="Q69" s="262"/>
      <c r="R69" s="262"/>
      <c r="S69" s="192"/>
      <c r="T69" s="191"/>
      <c r="U69" s="191"/>
      <c r="V69" s="191"/>
      <c r="W69" s="191"/>
      <c r="X69" s="191"/>
    </row>
    <row r="70" spans="1:24" ht="18" thickTop="1" x14ac:dyDescent="0.3">
      <c r="A70" s="224"/>
      <c r="B70" s="68"/>
      <c r="C70" s="78" t="str">
        <f>IF((A45&gt;0),"",(IF((D34="N"),L28,G76)))</f>
        <v>Subsidised - Adjusted by EFC</v>
      </c>
      <c r="D70" s="387">
        <f>IF((A45&gt;0),0,H76)</f>
        <v>3500</v>
      </c>
      <c r="E70" s="25" t="str">
        <f>IF((N60&gt;0),"Grossed up for fees","")</f>
        <v/>
      </c>
      <c r="F70" s="323"/>
      <c r="G70" s="262" t="s">
        <v>411</v>
      </c>
      <c r="H70" s="286">
        <f>SUM(I49:I52)</f>
        <v>0</v>
      </c>
      <c r="K70" s="286"/>
      <c r="L70" s="286"/>
      <c r="M70" s="295"/>
      <c r="N70" s="295"/>
      <c r="O70" s="302"/>
    </row>
    <row r="71" spans="1:24" ht="18" customHeight="1" thickBot="1" x14ac:dyDescent="0.35">
      <c r="A71" s="224"/>
      <c r="B71" s="68"/>
      <c r="C71" s="78" t="str">
        <f>IF((A45&gt;0),"",G77)</f>
        <v>Unsubsudised</v>
      </c>
      <c r="D71" s="387">
        <f>IF((A45&gt;0),0,H77)</f>
        <v>2000</v>
      </c>
      <c r="E71" s="25" t="str">
        <f>IF((N64&gt;0),"Grossed up for fees","")</f>
        <v/>
      </c>
      <c r="F71" s="323"/>
      <c r="G71" s="368" t="s">
        <v>412</v>
      </c>
      <c r="H71" s="369">
        <f>SUM(H69:H70)</f>
        <v>26910</v>
      </c>
      <c r="J71" s="262" t="s">
        <v>180</v>
      </c>
      <c r="K71" s="286">
        <f>IF((D29="Y"),0,(H5-K62-L66))</f>
        <v>58177</v>
      </c>
      <c r="L71" s="286" t="s">
        <v>439</v>
      </c>
      <c r="N71" s="295"/>
      <c r="O71" s="302"/>
    </row>
    <row r="72" spans="1:24" ht="15.6" customHeight="1" thickTop="1" x14ac:dyDescent="0.3">
      <c r="A72" s="224" t="s">
        <v>422</v>
      </c>
      <c r="B72" s="68"/>
      <c r="C72" s="78" t="str">
        <f>G78</f>
        <v/>
      </c>
      <c r="D72" s="387"/>
      <c r="E72" s="80"/>
      <c r="F72" s="323"/>
      <c r="K72" s="286"/>
      <c r="L72" s="286"/>
      <c r="O72" s="307"/>
    </row>
    <row r="73" spans="1:24" ht="15" x14ac:dyDescent="0.25">
      <c r="A73" s="224" t="s">
        <v>421</v>
      </c>
      <c r="B73" s="68"/>
      <c r="C73" s="78" t="str">
        <f>IF((A45&gt;0),"",G79)</f>
        <v>Maximum PLUS Loan allowed for this CoA before grossing up for fees</v>
      </c>
      <c r="D73" s="387">
        <f>IF((A45&gt;0),0,H79)</f>
        <v>21410</v>
      </c>
      <c r="F73" s="323"/>
      <c r="J73" s="255" t="s">
        <v>55</v>
      </c>
      <c r="K73" s="289">
        <f>IF((D28="Y"),0,(IF((((K69/(100-N53)*100))&lt;K71),((K69/(100-N53)*100)),(((K71+M62+M66)/(100-N53))*100))))</f>
        <v>22417.865795079568</v>
      </c>
      <c r="L73" s="286"/>
      <c r="M73" s="286"/>
      <c r="O73" s="304"/>
    </row>
    <row r="74" spans="1:24" ht="21" x14ac:dyDescent="0.4">
      <c r="A74" s="224"/>
      <c r="B74" s="68"/>
      <c r="C74" s="334" t="str">
        <f>G81</f>
        <v/>
      </c>
      <c r="D74" s="398">
        <f>H81</f>
        <v>0</v>
      </c>
      <c r="E74" s="25"/>
      <c r="F74" s="318"/>
      <c r="G74" s="296" t="s">
        <v>325</v>
      </c>
      <c r="H74" s="297" t="s">
        <v>25</v>
      </c>
      <c r="L74" s="286"/>
      <c r="N74" s="286"/>
      <c r="O74" s="304"/>
    </row>
    <row r="75" spans="1:24" ht="21.6" thickBot="1" x14ac:dyDescent="0.45">
      <c r="A75" s="224"/>
      <c r="B75" s="68"/>
      <c r="C75" s="81" t="str">
        <f>IF((A45&gt;0),"",G82)</f>
        <v>Total Eligible before adjustment for Fees</v>
      </c>
      <c r="D75" s="388">
        <f>IF((A45&gt;0),0,H82)</f>
        <v>26910</v>
      </c>
      <c r="E75" s="25"/>
      <c r="F75" s="323"/>
      <c r="G75" s="296" t="s">
        <v>337</v>
      </c>
      <c r="H75" s="297"/>
      <c r="J75" s="255" t="s">
        <v>331</v>
      </c>
      <c r="N75" s="298"/>
      <c r="O75" s="304"/>
    </row>
    <row r="76" spans="1:24" ht="18" thickTop="1" x14ac:dyDescent="0.3">
      <c r="A76" s="228">
        <v>5</v>
      </c>
      <c r="B76" s="218"/>
      <c r="C76" s="219" t="s">
        <v>167</v>
      </c>
      <c r="D76" s="27"/>
      <c r="E76" s="28"/>
      <c r="F76" s="323"/>
      <c r="G76" s="287" t="s">
        <v>56</v>
      </c>
      <c r="H76" s="286">
        <f>K62</f>
        <v>3500</v>
      </c>
      <c r="J76" s="262">
        <f>(IF(AND(D35="N",D34="Y"),1,0))+(IF((D38="I"),1,0))</f>
        <v>1</v>
      </c>
      <c r="K76" s="262" t="s">
        <v>336</v>
      </c>
      <c r="N76" s="298"/>
      <c r="O76" s="304"/>
      <c r="P76" s="286"/>
    </row>
    <row r="77" spans="1:24" ht="17.399999999999999" x14ac:dyDescent="0.3">
      <c r="A77" s="224"/>
      <c r="B77" s="68"/>
      <c r="C77" s="23" t="str">
        <f>IF(H67&gt;H5, I95,"  ")</f>
        <v xml:space="preserve">  </v>
      </c>
      <c r="D77" s="29"/>
      <c r="E77" s="30"/>
      <c r="F77" s="324"/>
      <c r="G77" s="287" t="s">
        <v>35</v>
      </c>
      <c r="H77" s="286">
        <f>L66</f>
        <v>2000</v>
      </c>
      <c r="P77" s="286"/>
    </row>
    <row r="78" spans="1:24" ht="18" thickBot="1" x14ac:dyDescent="0.35">
      <c r="A78" s="224"/>
      <c r="B78" s="68"/>
      <c r="C78" s="24" t="str">
        <f>IF((A45&gt;0),"",(IF(H67&gt;H5, I96,I97)))</f>
        <v>You are allowed to borrow up to the values above</v>
      </c>
      <c r="D78" s="31"/>
      <c r="E78" s="32"/>
      <c r="F78" s="324"/>
      <c r="G78" s="287" t="str">
        <f>IF((J76=2),K76,(IF((H69&gt;H5),"PLUS Loan to fulfil this CoA","")))</f>
        <v/>
      </c>
    </row>
    <row r="79" spans="1:24" ht="17.399999999999999" x14ac:dyDescent="0.3">
      <c r="A79" s="229">
        <v>6</v>
      </c>
      <c r="B79" s="220"/>
      <c r="C79" s="221" t="str">
        <f>IF((D27=G12),"THIS SECTION DOES NOT APPLY TO SALLIE MAE LOANS","YOU TELL US HOW MUCH WOULD YOU LIKE TO BORROW - YOU MAY REDUCE THE FIGURES IN BLUE")</f>
        <v>YOU TELL US HOW MUCH WOULD YOU LIKE TO BORROW - YOU MAY REDUCE THE FIGURES IN BLUE</v>
      </c>
      <c r="D79" s="222"/>
      <c r="E79" s="223"/>
      <c r="F79" s="324"/>
      <c r="G79" s="287" t="str">
        <f>IF((J76=2),"","Maximum PLUS Loan allowed for this CoA before grossing up for fees")</f>
        <v>Maximum PLUS Loan allowed for this CoA before grossing up for fees</v>
      </c>
      <c r="H79" s="299">
        <f>IF((J76=2),"",(IF((K69&lt;K71),(K69-M66-M62),K71)))</f>
        <v>21410</v>
      </c>
      <c r="I79" s="255"/>
    </row>
    <row r="80" spans="1:24" ht="52.2" x14ac:dyDescent="0.25">
      <c r="A80" s="230" t="s">
        <v>363</v>
      </c>
      <c r="B80" s="181" t="s">
        <v>166</v>
      </c>
      <c r="C80" s="364" t="s">
        <v>191</v>
      </c>
      <c r="D80" s="365" t="s">
        <v>364</v>
      </c>
      <c r="E80" s="182" t="s">
        <v>91</v>
      </c>
      <c r="F80" s="325"/>
      <c r="G80" s="287" t="s">
        <v>350</v>
      </c>
      <c r="H80" s="299"/>
      <c r="I80" s="262" t="s">
        <v>431</v>
      </c>
      <c r="J80" s="262" t="s">
        <v>432</v>
      </c>
    </row>
    <row r="81" spans="1:32" ht="15.6" x14ac:dyDescent="0.25">
      <c r="A81" s="392">
        <f>IF((A45&gt;0),0,(IF((D27=G12),0,G89)))</f>
        <v>3500</v>
      </c>
      <c r="B81" s="183">
        <f>O51</f>
        <v>1.059E-2</v>
      </c>
      <c r="C81" s="184" t="str">
        <f>C70</f>
        <v>Subsidised - Adjusted by EFC</v>
      </c>
      <c r="D81" s="389">
        <f>A81</f>
        <v>3500</v>
      </c>
      <c r="E81" s="390">
        <f>ROUND(((D81*(1-O51))),0)</f>
        <v>3463</v>
      </c>
      <c r="F81" s="326"/>
      <c r="G81" s="396" t="str">
        <f>IF((H81&gt;1),("Private (Salie Mae) Loan"),"")</f>
        <v/>
      </c>
      <c r="H81" s="83">
        <f>MAX(I81:J81)</f>
        <v>0</v>
      </c>
      <c r="I81" s="262" t="str">
        <f>IF((D29="Y"),H71,"")</f>
        <v/>
      </c>
      <c r="J81" s="262" t="str">
        <f>IF((D28="Y"),(H79+M62+M66),"")</f>
        <v/>
      </c>
    </row>
    <row r="82" spans="1:32" s="159" customFormat="1" ht="16.2" thickBot="1" x14ac:dyDescent="0.35">
      <c r="A82" s="392">
        <f>IF((A45&gt;0),0,(IF((D27=G12),0,G90)))</f>
        <v>2000</v>
      </c>
      <c r="B82" s="183">
        <f>O52</f>
        <v>1.059E-2</v>
      </c>
      <c r="C82" s="184" t="s">
        <v>35</v>
      </c>
      <c r="D82" s="389">
        <f>A82</f>
        <v>2000</v>
      </c>
      <c r="E82" s="390">
        <f>ROUND(((D82*(1-O52))),0)</f>
        <v>1979</v>
      </c>
      <c r="F82" s="326"/>
      <c r="G82" s="293" t="s">
        <v>174</v>
      </c>
      <c r="H82" s="300">
        <f>SUM(H76:H80)</f>
        <v>26910</v>
      </c>
      <c r="P82" s="301"/>
      <c r="Q82" s="301"/>
      <c r="R82" s="262"/>
      <c r="S82" s="192"/>
      <c r="T82" s="192"/>
      <c r="U82" s="192"/>
      <c r="V82" s="192"/>
      <c r="W82" s="192"/>
      <c r="X82" s="192"/>
      <c r="Y82"/>
      <c r="Z82"/>
      <c r="AA82"/>
      <c r="AB82"/>
      <c r="AC82"/>
      <c r="AD82"/>
      <c r="AE82"/>
      <c r="AF82"/>
    </row>
    <row r="83" spans="1:32" s="160" customFormat="1" ht="18" thickTop="1" x14ac:dyDescent="0.3">
      <c r="A83" s="392">
        <f>G91</f>
        <v>0</v>
      </c>
      <c r="B83" s="183">
        <v>0</v>
      </c>
      <c r="C83" s="184" t="str">
        <f>G81</f>
        <v/>
      </c>
      <c r="D83" s="389">
        <f>G91</f>
        <v>0</v>
      </c>
      <c r="E83" s="390">
        <f>H91</f>
        <v>0</v>
      </c>
      <c r="F83" s="326"/>
      <c r="G83" s="83"/>
      <c r="H83" s="83"/>
      <c r="I83" s="262"/>
      <c r="P83" s="302"/>
      <c r="Q83" s="302"/>
      <c r="R83" s="301"/>
      <c r="S83" s="194"/>
      <c r="T83" s="194"/>
      <c r="U83" s="194"/>
      <c r="V83" s="194"/>
      <c r="W83" s="194"/>
      <c r="X83" s="194"/>
      <c r="Y83" s="159"/>
      <c r="Z83" s="159"/>
      <c r="AA83" s="159"/>
      <c r="AB83" s="159"/>
      <c r="AC83" s="159"/>
      <c r="AD83" s="159"/>
      <c r="AE83" s="159"/>
      <c r="AF83" s="159"/>
    </row>
    <row r="84" spans="1:32" s="180" customFormat="1" ht="17.399999999999999" x14ac:dyDescent="0.3">
      <c r="A84" s="392">
        <f>IF((A45&gt;0),0,(IF((D27=G12),0,G92)))</f>
        <v>22418</v>
      </c>
      <c r="B84" s="183">
        <f>O53</f>
        <v>4.2360000000000002E-2</v>
      </c>
      <c r="C84" s="184" t="str">
        <f>IF((J76=2),K76,"PLUS Loan (Adjusted up to include all fees)")</f>
        <v>PLUS Loan (Adjusted up to include all fees)</v>
      </c>
      <c r="D84" s="389">
        <f>IF((A84=""),0,((ROUND(A84,0))))</f>
        <v>22418</v>
      </c>
      <c r="E84" s="390">
        <f>ROUND(((D84*(1-O53))),0)</f>
        <v>21468</v>
      </c>
      <c r="F84" s="327" t="str">
        <f>IF((D81&gt;A81),("You cannot borrow more than  "&amp;A81),"")</f>
        <v/>
      </c>
      <c r="G84" s="302"/>
      <c r="H84" s="301" t="s">
        <v>60</v>
      </c>
      <c r="I84" s="262"/>
      <c r="P84" s="302"/>
      <c r="Q84" s="302"/>
      <c r="R84" s="302"/>
      <c r="S84" s="195"/>
      <c r="T84" s="195"/>
      <c r="U84" s="195"/>
      <c r="V84" s="195"/>
      <c r="W84" s="195"/>
      <c r="X84" s="195"/>
      <c r="Y84" s="160"/>
      <c r="Z84" s="160"/>
      <c r="AA84" s="160"/>
      <c r="AB84" s="160"/>
      <c r="AC84" s="160"/>
      <c r="AD84" s="160"/>
      <c r="AE84" s="160"/>
      <c r="AF84" s="160"/>
    </row>
    <row r="85" spans="1:32" s="180" customFormat="1" ht="18" thickBot="1" x14ac:dyDescent="0.35">
      <c r="A85" s="392">
        <f>IF((A45&gt;0),0,(IF((D27=G12),0,G93)))</f>
        <v>27918</v>
      </c>
      <c r="B85" s="185"/>
      <c r="C85" s="186" t="s">
        <v>164</v>
      </c>
      <c r="D85" s="391">
        <f>SUM(D81:D84)</f>
        <v>27918</v>
      </c>
      <c r="E85" s="391">
        <f>SUM(E81:E84)</f>
        <v>26910</v>
      </c>
      <c r="F85" s="327" t="str">
        <f>IF((D82&gt;A82),("You cannot borrow more than  "&amp;A82),"")</f>
        <v/>
      </c>
      <c r="G85" s="302"/>
      <c r="H85" s="301" t="s">
        <v>61</v>
      </c>
      <c r="I85" s="262"/>
      <c r="P85" s="307"/>
      <c r="Q85" s="307"/>
      <c r="R85" s="307"/>
      <c r="S85" s="197"/>
      <c r="T85" s="197"/>
      <c r="U85" s="197"/>
      <c r="V85" s="197"/>
      <c r="W85" s="197"/>
      <c r="X85" s="197"/>
    </row>
    <row r="86" spans="1:32" s="83" customFormat="1" ht="18" thickTop="1" x14ac:dyDescent="0.3">
      <c r="A86" s="231" t="s">
        <v>430</v>
      </c>
      <c r="B86" s="187"/>
      <c r="C86" s="188">
        <f>IF((A45&gt;0),"",(IF((D85&lt;(H5*1.04)),I99,I101)))</f>
        <v>0</v>
      </c>
      <c r="D86" s="35"/>
      <c r="E86" s="35"/>
      <c r="F86" s="327" t="str">
        <f>IF((D84&gt;A84),("You cannot borrow more than  "&amp;ROUND(A84,2)),"")</f>
        <v/>
      </c>
      <c r="G86" s="304"/>
      <c r="H86" s="305" t="s">
        <v>59</v>
      </c>
      <c r="I86" s="262"/>
      <c r="P86" s="304"/>
      <c r="Q86" s="304"/>
      <c r="R86" s="307"/>
      <c r="S86" s="197"/>
      <c r="T86" s="197"/>
      <c r="U86" s="197"/>
      <c r="V86" s="197"/>
      <c r="W86" s="197"/>
      <c r="X86" s="197"/>
      <c r="Y86" s="180"/>
      <c r="Z86" s="180"/>
      <c r="AA86" s="180"/>
      <c r="AB86" s="180"/>
      <c r="AC86" s="180"/>
      <c r="AD86" s="180"/>
      <c r="AE86" s="180"/>
      <c r="AF86" s="180"/>
    </row>
    <row r="87" spans="1:32" s="83" customFormat="1" ht="17.399999999999999" x14ac:dyDescent="0.3">
      <c r="A87" s="224"/>
      <c r="B87" s="17"/>
      <c r="C87" s="188">
        <f>IF((A45&gt;0),"",(IF((D85&lt;(H5*1.04)),I100,I107)))</f>
        <v>0</v>
      </c>
      <c r="D87" s="35"/>
      <c r="F87" s="327" t="str">
        <f>IF((D85&gt;A85),("You cannot borrow more than  "&amp;ROUND(A85,2)),"")</f>
        <v/>
      </c>
      <c r="G87" s="304"/>
      <c r="H87" s="307"/>
      <c r="I87" s="262"/>
      <c r="P87" s="304"/>
      <c r="Q87" s="304"/>
      <c r="R87" s="304"/>
      <c r="S87" s="196"/>
      <c r="T87" s="196"/>
      <c r="U87" s="196"/>
      <c r="V87" s="196"/>
      <c r="W87" s="196"/>
      <c r="X87" s="196"/>
    </row>
    <row r="88" spans="1:32" s="83" customFormat="1" ht="17.399999999999999" x14ac:dyDescent="0.3">
      <c r="A88" s="224"/>
      <c r="B88" s="17"/>
      <c r="C88" s="188" t="str">
        <f>IF((A45&gt;0),"REMEMBER - TELL US WHEN YOU HAVE DONE YOUR SALLIE MAE APPLICATION SO WE CAN CERTIFY IT","")</f>
        <v/>
      </c>
      <c r="D88" s="35"/>
      <c r="E88" s="328" t="str">
        <f>IF((E85&lt;&gt;D75),"Includes $"&amp;(ROUND((E85-D75),0))&amp;" rounding differences","")</f>
        <v/>
      </c>
      <c r="F88" s="329"/>
      <c r="G88" s="309" t="s">
        <v>139</v>
      </c>
      <c r="H88" s="308" t="s">
        <v>91</v>
      </c>
      <c r="I88" s="262"/>
      <c r="P88" s="304"/>
      <c r="Q88" s="304"/>
      <c r="R88" s="304"/>
      <c r="S88" s="196"/>
      <c r="T88" s="196"/>
      <c r="U88" s="196"/>
      <c r="V88" s="196"/>
      <c r="W88" s="196"/>
      <c r="X88" s="196"/>
    </row>
    <row r="89" spans="1:32" s="83" customFormat="1" ht="17.399999999999999" x14ac:dyDescent="0.3">
      <c r="A89" s="394">
        <v>8</v>
      </c>
      <c r="B89" s="350"/>
      <c r="C89" s="350" t="s">
        <v>386</v>
      </c>
      <c r="D89" s="350"/>
      <c r="E89" s="350"/>
      <c r="F89" s="329"/>
      <c r="G89" s="310">
        <f>ROUND(K62,0)</f>
        <v>3500</v>
      </c>
      <c r="H89" s="311">
        <f>ROUND(((G89*(1-O51))),0)</f>
        <v>3463</v>
      </c>
      <c r="I89" s="262" t="s">
        <v>436</v>
      </c>
      <c r="P89" s="304"/>
      <c r="Q89" s="304"/>
      <c r="R89" s="304"/>
      <c r="S89" s="196"/>
      <c r="T89" s="196"/>
      <c r="U89" s="196"/>
      <c r="V89" s="196"/>
      <c r="W89" s="196"/>
      <c r="X89" s="196"/>
    </row>
    <row r="90" spans="1:32" s="83" customFormat="1" ht="15" x14ac:dyDescent="0.25">
      <c r="A90" s="224"/>
      <c r="B90" s="198">
        <f>B81</f>
        <v>1.059E-2</v>
      </c>
      <c r="C90" s="189" t="str">
        <f>C81&amp;" Origination Fee of "&amp;L51&amp;"% less Interest Rebate of "&amp;M51&amp;"%"</f>
        <v>Subsidised - Adjusted by EFC Origination Fee of 1.059% less Interest Rebate of 0%</v>
      </c>
      <c r="D90" s="35"/>
      <c r="E90" s="68"/>
      <c r="F90" s="329"/>
      <c r="G90" s="310">
        <f>ROUND(L66,0)</f>
        <v>2000</v>
      </c>
      <c r="H90" s="311">
        <f>ROUND(((G90*(1-O52))),0)</f>
        <v>1979</v>
      </c>
      <c r="I90" s="262" t="s">
        <v>440</v>
      </c>
      <c r="N90" s="286"/>
      <c r="O90" s="304"/>
      <c r="P90" s="304"/>
      <c r="Q90" s="304"/>
      <c r="R90" s="314"/>
      <c r="S90" s="196"/>
      <c r="T90" s="196"/>
      <c r="U90" s="196"/>
      <c r="V90" s="196"/>
      <c r="W90" s="196"/>
      <c r="X90" s="196"/>
    </row>
    <row r="91" spans="1:32" s="83" customFormat="1" ht="15" x14ac:dyDescent="0.25">
      <c r="A91" s="224"/>
      <c r="B91" s="198">
        <f>B82</f>
        <v>1.059E-2</v>
      </c>
      <c r="C91" s="189" t="str">
        <f>C82&amp;" Origination Fee of "&amp;L52&amp;"% less Interest Rebate of "&amp;M52&amp;"%"</f>
        <v>Unsubsudised Origination Fee of 1.059% less Interest Rebate of 0%</v>
      </c>
      <c r="D91" s="35"/>
      <c r="E91" s="68"/>
      <c r="F91" s="329"/>
      <c r="G91" s="310">
        <f>H81</f>
        <v>0</v>
      </c>
      <c r="H91" s="311">
        <f>G91</f>
        <v>0</v>
      </c>
      <c r="I91" s="262" t="s">
        <v>435</v>
      </c>
      <c r="J91" s="262"/>
      <c r="K91" s="262"/>
      <c r="L91" s="262"/>
      <c r="M91" s="262"/>
      <c r="N91" s="286"/>
      <c r="O91" s="304"/>
      <c r="P91" s="314"/>
      <c r="Q91" s="314"/>
      <c r="R91" s="304"/>
      <c r="S91" s="196"/>
      <c r="T91" s="196"/>
      <c r="U91" s="196"/>
      <c r="V91" s="196"/>
      <c r="W91" s="196"/>
      <c r="X91" s="196"/>
    </row>
    <row r="92" spans="1:32" s="83" customFormat="1" ht="15" x14ac:dyDescent="0.25">
      <c r="A92" s="224"/>
      <c r="B92" s="198">
        <f>B84</f>
        <v>4.2360000000000002E-2</v>
      </c>
      <c r="C92" s="189" t="str">
        <f>C84&amp;" Origination Fee of "&amp;L53&amp;"% less Interest Rebate of "&amp;M53&amp;"%"</f>
        <v>PLUS Loan (Adjusted up to include all fees) Origination Fee of 4.236% less Interest Rebate of 0%</v>
      </c>
      <c r="D92" s="35"/>
      <c r="E92" s="68"/>
      <c r="F92" s="330"/>
      <c r="G92" s="310">
        <f>IF((J76=2),"",(ROUND(K73,0)))</f>
        <v>22418</v>
      </c>
      <c r="H92" s="311">
        <f>ROUND(((G92*(1-O53))),0)</f>
        <v>21468</v>
      </c>
      <c r="I92" s="262" t="s">
        <v>437</v>
      </c>
      <c r="J92" s="262"/>
      <c r="K92" s="262"/>
      <c r="L92" s="262"/>
      <c r="M92" s="262"/>
      <c r="N92" s="298"/>
      <c r="O92" s="304"/>
      <c r="P92" s="304"/>
      <c r="Q92" s="316"/>
      <c r="R92" s="304"/>
      <c r="S92" s="196"/>
      <c r="T92" s="196"/>
      <c r="U92" s="196"/>
      <c r="V92" s="196"/>
      <c r="W92" s="196"/>
      <c r="X92" s="196"/>
    </row>
    <row r="93" spans="1:32" s="83" customFormat="1" ht="21.6" thickBot="1" x14ac:dyDescent="0.45">
      <c r="A93" s="224"/>
      <c r="B93" s="68"/>
      <c r="C93" s="248" t="s">
        <v>365</v>
      </c>
      <c r="D93" s="35"/>
      <c r="E93" s="68"/>
      <c r="F93" s="330"/>
      <c r="G93" s="312">
        <f>SUM(G89:G92)</f>
        <v>27918</v>
      </c>
      <c r="H93" s="313">
        <f>SUM(H89:H92)</f>
        <v>26910</v>
      </c>
      <c r="I93" s="262" t="s">
        <v>438</v>
      </c>
      <c r="J93" s="262"/>
      <c r="K93" s="262"/>
      <c r="L93" s="262"/>
      <c r="M93" s="262"/>
      <c r="N93" s="298"/>
      <c r="O93" s="304"/>
      <c r="P93" s="304"/>
      <c r="Q93" s="304"/>
      <c r="R93" s="304"/>
      <c r="S93" s="196"/>
      <c r="T93" s="196"/>
      <c r="U93" s="196"/>
      <c r="V93" s="196"/>
      <c r="W93" s="196"/>
      <c r="X93" s="196"/>
    </row>
    <row r="94" spans="1:32" s="83" customFormat="1" ht="16.2" thickTop="1" x14ac:dyDescent="0.3">
      <c r="A94" s="224"/>
      <c r="B94" s="68"/>
      <c r="C94" s="68"/>
      <c r="D94" s="68"/>
      <c r="E94" s="68"/>
      <c r="F94" s="330"/>
      <c r="G94" s="304"/>
      <c r="I94" s="262"/>
      <c r="J94" s="301"/>
      <c r="K94" s="301"/>
      <c r="L94" s="301"/>
      <c r="M94" s="301"/>
      <c r="N94" s="301"/>
      <c r="O94" s="304"/>
      <c r="P94" s="304"/>
      <c r="Q94" s="304"/>
      <c r="R94" s="304"/>
      <c r="S94" s="196"/>
      <c r="T94" s="196"/>
      <c r="U94" s="196"/>
      <c r="V94" s="196"/>
      <c r="W94" s="196"/>
      <c r="X94" s="196"/>
    </row>
    <row r="95" spans="1:32" s="83" customFormat="1" ht="17.399999999999999" x14ac:dyDescent="0.3">
      <c r="A95" s="79"/>
      <c r="B95" s="34"/>
      <c r="C95"/>
      <c r="D95" s="16"/>
      <c r="E95" s="16"/>
      <c r="F95" s="344"/>
      <c r="G95" s="304"/>
      <c r="H95" s="305" t="s">
        <v>60</v>
      </c>
      <c r="I95" s="303" t="s">
        <v>74</v>
      </c>
      <c r="J95" s="302"/>
      <c r="K95" s="302"/>
      <c r="L95" s="302"/>
      <c r="M95" s="302"/>
      <c r="N95" s="302"/>
      <c r="O95" s="304"/>
      <c r="P95" s="304"/>
      <c r="Q95" s="304"/>
      <c r="R95" s="304"/>
      <c r="S95" s="196"/>
      <c r="T95" s="196"/>
      <c r="U95" s="196"/>
      <c r="V95" s="196"/>
      <c r="W95" s="196"/>
      <c r="X95" s="196"/>
    </row>
    <row r="96" spans="1:32" s="83" customFormat="1" ht="17.399999999999999" x14ac:dyDescent="0.3">
      <c r="A96" s="34"/>
      <c r="B96" s="34"/>
      <c r="C96"/>
      <c r="D96" s="16"/>
      <c r="E96" s="16"/>
      <c r="F96" s="344"/>
      <c r="G96" s="304"/>
      <c r="I96" s="303" t="s">
        <v>90</v>
      </c>
      <c r="J96" s="302"/>
      <c r="K96" s="302"/>
      <c r="L96" s="302"/>
      <c r="M96" s="302"/>
      <c r="N96" s="302"/>
      <c r="O96" s="304"/>
      <c r="P96" s="304"/>
      <c r="Q96" s="304"/>
      <c r="R96" s="304"/>
      <c r="S96" s="196"/>
      <c r="T96" s="196"/>
      <c r="U96" s="196"/>
      <c r="V96" s="196"/>
      <c r="W96" s="196"/>
      <c r="X96" s="196"/>
    </row>
    <row r="97" spans="1:32" s="83" customFormat="1" ht="17.399999999999999" x14ac:dyDescent="0.3">
      <c r="G97" s="304"/>
      <c r="I97" s="306" t="s">
        <v>76</v>
      </c>
      <c r="J97" s="307"/>
      <c r="K97" s="307"/>
      <c r="L97" s="307"/>
      <c r="M97" s="307"/>
      <c r="N97" s="307"/>
      <c r="O97" s="304"/>
      <c r="P97" s="304"/>
      <c r="Q97" s="304"/>
      <c r="R97" s="304"/>
      <c r="S97" s="196"/>
      <c r="T97" s="196"/>
      <c r="U97" s="196"/>
      <c r="V97" s="196"/>
      <c r="W97" s="196"/>
      <c r="X97" s="196"/>
    </row>
    <row r="98" spans="1:32" s="83" customFormat="1" ht="17.399999999999999" x14ac:dyDescent="0.3">
      <c r="I98" s="307"/>
      <c r="J98" s="304"/>
      <c r="K98" s="304"/>
      <c r="L98" s="304"/>
      <c r="M98" s="304"/>
      <c r="N98" s="304"/>
      <c r="O98" s="304"/>
      <c r="P98" s="304"/>
      <c r="Q98" s="304"/>
      <c r="R98" s="304"/>
      <c r="S98" s="196"/>
      <c r="T98" s="196"/>
      <c r="U98" s="196"/>
      <c r="V98" s="196"/>
      <c r="W98" s="196"/>
      <c r="X98" s="196"/>
    </row>
    <row r="99" spans="1:32" ht="17.399999999999999" x14ac:dyDescent="0.3">
      <c r="A99" s="83"/>
      <c r="B99" s="83"/>
      <c r="C99" s="83"/>
      <c r="D99" s="83"/>
      <c r="E99" s="83"/>
      <c r="F99" s="83"/>
      <c r="G99" s="83"/>
      <c r="H99" s="305"/>
      <c r="I99" s="315"/>
      <c r="J99" s="304"/>
      <c r="K99" s="304"/>
      <c r="L99" s="307"/>
      <c r="M99" s="307"/>
      <c r="N99" s="307"/>
      <c r="O99" s="304"/>
      <c r="P99" s="304"/>
      <c r="Q99" s="304"/>
      <c r="R99" s="304"/>
      <c r="S99" s="196"/>
      <c r="T99" s="196"/>
      <c r="U99" s="196"/>
      <c r="V99" s="196"/>
      <c r="W99" s="196"/>
      <c r="X99" s="196"/>
      <c r="Y99" s="83"/>
      <c r="Z99" s="83"/>
      <c r="AA99" s="83"/>
      <c r="AB99" s="83"/>
      <c r="AC99" s="83"/>
      <c r="AD99" s="83"/>
      <c r="AE99" s="83"/>
      <c r="AF99" s="83"/>
    </row>
    <row r="100" spans="1:32" ht="17.399999999999999" x14ac:dyDescent="0.3">
      <c r="H100" s="305"/>
      <c r="I100" s="315"/>
      <c r="J100" s="304"/>
      <c r="K100" s="304"/>
      <c r="L100" s="304"/>
      <c r="M100" s="304"/>
      <c r="N100" s="304"/>
    </row>
    <row r="101" spans="1:32" ht="17.399999999999999" x14ac:dyDescent="0.3">
      <c r="H101" s="305"/>
      <c r="I101" s="317"/>
      <c r="J101" s="304"/>
      <c r="K101" s="304"/>
      <c r="L101" s="304"/>
      <c r="M101" s="304"/>
      <c r="N101" s="304"/>
    </row>
    <row r="102" spans="1:32" x14ac:dyDescent="0.25">
      <c r="I102" s="304"/>
      <c r="J102" s="304"/>
      <c r="K102" s="304"/>
      <c r="L102" s="304"/>
      <c r="M102" s="304"/>
      <c r="N102" s="304"/>
    </row>
    <row r="103" spans="1:32" x14ac:dyDescent="0.25">
      <c r="I103" s="304"/>
      <c r="J103" s="304"/>
      <c r="K103" s="304"/>
      <c r="L103" s="304"/>
      <c r="M103" s="304"/>
      <c r="N103" s="304"/>
    </row>
    <row r="104" spans="1:32" x14ac:dyDescent="0.25">
      <c r="J104" s="304"/>
      <c r="K104" s="304"/>
      <c r="L104" s="304"/>
      <c r="M104" s="304"/>
      <c r="N104" s="304"/>
    </row>
    <row r="105" spans="1:32" x14ac:dyDescent="0.25">
      <c r="J105" s="304"/>
      <c r="K105" s="304"/>
      <c r="L105" s="304"/>
      <c r="M105" s="304"/>
      <c r="N105" s="304"/>
    </row>
    <row r="106" spans="1:32" x14ac:dyDescent="0.25">
      <c r="J106" s="304"/>
      <c r="K106" s="304"/>
      <c r="L106" s="304"/>
      <c r="M106" s="304"/>
      <c r="N106" s="304"/>
    </row>
    <row r="107" spans="1:32" ht="21" x14ac:dyDescent="0.4">
      <c r="A107" s="395"/>
      <c r="I107" s="304"/>
      <c r="J107" s="304"/>
      <c r="K107" s="304"/>
      <c r="L107" s="304"/>
      <c r="M107" s="304"/>
      <c r="N107" s="304"/>
    </row>
  </sheetData>
  <sheetProtection selectLockedCells="1"/>
  <phoneticPr fontId="5" type="noConversion"/>
  <conditionalFormatting sqref="D70:D73 D75">
    <cfRule type="cellIs" dxfId="6" priority="20" stopIfTrue="1" operator="equal">
      <formula>0</formula>
    </cfRule>
  </conditionalFormatting>
  <conditionalFormatting sqref="D35:D37 C35:C36">
    <cfRule type="cellIs" dxfId="5" priority="22" stopIfTrue="1" operator="equal">
      <formula>"Do not adjust this line"</formula>
    </cfRule>
  </conditionalFormatting>
  <conditionalFormatting sqref="C33">
    <cfRule type="cellIs" dxfId="4" priority="23" stopIfTrue="1" operator="equal">
      <formula>"do not adjust this line"</formula>
    </cfRule>
  </conditionalFormatting>
  <conditionalFormatting sqref="E33">
    <cfRule type="cellIs" dxfId="3" priority="25" stopIfTrue="1" operator="equal">
      <formula>"https://fafsa.ed.gov/FAFSA/app/schoolSearch?locale=en_EN"</formula>
    </cfRule>
  </conditionalFormatting>
  <dataValidations count="5">
    <dataValidation type="list" allowBlank="1" showInputMessage="1" showErrorMessage="1" sqref="D27:D36" xr:uid="{00000000-0002-0000-0100-000000000000}">
      <formula1>$H$9:$H$10</formula1>
    </dataValidation>
    <dataValidation type="list" allowBlank="1" showInputMessage="1" showErrorMessage="1" sqref="D38" xr:uid="{00000000-0002-0000-0100-000001000000}">
      <formula1>$G$9:$G$10</formula1>
    </dataValidation>
    <dataValidation type="list" allowBlank="1" showInputMessage="1" showErrorMessage="1" sqref="D37" xr:uid="{00000000-0002-0000-0100-000002000000}">
      <formula1>$I$9:$I$11</formula1>
    </dataValidation>
    <dataValidation type="list" allowBlank="1" showInputMessage="1" showErrorMessage="1" sqref="F38" xr:uid="{00000000-0002-0000-0100-000003000000}">
      <formula1>$I$9:$I$23</formula1>
    </dataValidation>
    <dataValidation type="list" showInputMessage="1" showErrorMessage="1" sqref="E62:E65" xr:uid="{00000000-0002-0000-0100-000004000000}">
      <formula1>$J$9:$J$10</formula1>
    </dataValidation>
  </dataValidations>
  <hyperlinks>
    <hyperlink ref="E33" r:id="rId1" display="https://fafsa.ed.gov/FAFSA/app/schoolSearch?locale=en_EN" xr:uid="{00000000-0004-0000-0100-000000000000}"/>
  </hyperlinks>
  <printOptions horizontalCentered="1" verticalCentered="1"/>
  <pageMargins left="0.31496062992125984" right="0.19685039370078741" top="0.19685039370078741" bottom="0.39370078740157483" header="0" footer="0"/>
  <pageSetup paperSize="9" scale="51" orientation="portrait" r:id="rId2"/>
  <headerFooter alignWithMargins="0"/>
  <ignoredErrors>
    <ignoredError sqref="C24" numberStoredAsText="1"/>
  </ignoredErrors>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K62"/>
  <sheetViews>
    <sheetView zoomScale="75" workbookViewId="0">
      <selection activeCell="D11" sqref="D11"/>
    </sheetView>
  </sheetViews>
  <sheetFormatPr defaultColWidth="9.109375" defaultRowHeight="13.2" x14ac:dyDescent="0.25"/>
  <cols>
    <col min="1" max="1" width="9.109375" style="171"/>
    <col min="2" max="2" width="32.109375" style="85" customWidth="1"/>
    <col min="3" max="3" width="38.109375" style="85" bestFit="1" customWidth="1"/>
    <col min="4" max="4" width="16.33203125" style="85" customWidth="1"/>
    <col min="5" max="5" width="14" style="85" customWidth="1"/>
    <col min="6" max="6" width="5.109375" style="119" customWidth="1"/>
    <col min="7" max="7" width="72.6640625" style="85" customWidth="1"/>
    <col min="8" max="8" width="14.33203125" style="85" customWidth="1"/>
    <col min="9" max="9" width="19.5546875" style="85" customWidth="1"/>
    <col min="10" max="10" width="14.33203125" style="85" customWidth="1"/>
    <col min="11" max="16384" width="9.109375" style="85"/>
  </cols>
  <sheetData>
    <row r="1" spans="1:11" s="176" customFormat="1" ht="21" x14ac:dyDescent="0.4">
      <c r="A1" s="199"/>
      <c r="B1" s="175" t="s">
        <v>297</v>
      </c>
      <c r="C1" s="175"/>
      <c r="D1" s="175" t="s">
        <v>374</v>
      </c>
      <c r="E1" s="175"/>
      <c r="F1" s="202"/>
      <c r="G1" s="175"/>
      <c r="H1" s="175"/>
      <c r="I1" s="175"/>
      <c r="J1" s="175"/>
    </row>
    <row r="2" spans="1:11" s="117" customFormat="1" ht="15.6" x14ac:dyDescent="0.3">
      <c r="A2" s="200"/>
      <c r="D2" s="116" t="s">
        <v>311</v>
      </c>
      <c r="E2" s="116"/>
      <c r="F2" s="203"/>
      <c r="G2" s="116"/>
      <c r="H2" s="116"/>
      <c r="I2" s="116"/>
      <c r="J2" s="116"/>
    </row>
    <row r="3" spans="1:11" s="124" customFormat="1" ht="15.6" x14ac:dyDescent="0.3">
      <c r="A3" s="201"/>
      <c r="D3" s="124" t="s">
        <v>256</v>
      </c>
      <c r="F3" s="201"/>
      <c r="H3" s="124" t="s">
        <v>257</v>
      </c>
    </row>
    <row r="4" spans="1:11" s="124" customFormat="1" ht="15.6" x14ac:dyDescent="0.3">
      <c r="A4" s="201"/>
      <c r="F4" s="201"/>
    </row>
    <row r="5" spans="1:11" x14ac:dyDescent="0.25">
      <c r="D5" s="173" t="s">
        <v>315</v>
      </c>
      <c r="E5" s="174"/>
      <c r="H5" s="173" t="s">
        <v>316</v>
      </c>
      <c r="I5" s="174"/>
      <c r="J5" s="173"/>
      <c r="K5" s="208"/>
    </row>
    <row r="6" spans="1:11" s="84" customFormat="1" x14ac:dyDescent="0.25">
      <c r="A6" s="171">
        <v>1</v>
      </c>
      <c r="B6" s="84" t="s">
        <v>215</v>
      </c>
      <c r="C6" s="118" t="s">
        <v>238</v>
      </c>
      <c r="D6" s="168" t="s">
        <v>463</v>
      </c>
      <c r="F6" s="171">
        <v>6</v>
      </c>
      <c r="G6" s="84" t="s">
        <v>236</v>
      </c>
      <c r="H6" s="85"/>
    </row>
    <row r="7" spans="1:11" x14ac:dyDescent="0.25">
      <c r="C7" s="118" t="s">
        <v>216</v>
      </c>
      <c r="D7" s="164">
        <v>45194</v>
      </c>
      <c r="E7" s="125">
        <f>D7+364</f>
        <v>45558</v>
      </c>
      <c r="G7" s="85" t="s">
        <v>338</v>
      </c>
      <c r="H7" s="163">
        <v>20000</v>
      </c>
      <c r="I7" s="126"/>
      <c r="J7" s="127">
        <f>H7</f>
        <v>20000</v>
      </c>
    </row>
    <row r="8" spans="1:11" x14ac:dyDescent="0.25">
      <c r="C8" s="118" t="s">
        <v>288</v>
      </c>
      <c r="D8" s="164">
        <v>45078</v>
      </c>
      <c r="H8" s="128"/>
      <c r="I8" s="126"/>
      <c r="J8" s="126"/>
    </row>
    <row r="9" spans="1:11" s="84" customFormat="1" x14ac:dyDescent="0.25">
      <c r="A9" s="171"/>
      <c r="B9" s="84" t="s">
        <v>218</v>
      </c>
      <c r="D9" s="120"/>
      <c r="F9" s="171">
        <v>7</v>
      </c>
      <c r="G9" s="84" t="s">
        <v>239</v>
      </c>
      <c r="H9" s="173" t="s">
        <v>318</v>
      </c>
      <c r="I9" s="174"/>
      <c r="J9" s="173"/>
    </row>
    <row r="10" spans="1:11" s="84" customFormat="1" x14ac:dyDescent="0.25">
      <c r="A10" s="171"/>
      <c r="B10" s="85" t="s">
        <v>217</v>
      </c>
      <c r="D10" s="164">
        <v>45180</v>
      </c>
      <c r="E10" s="130" t="s">
        <v>247</v>
      </c>
      <c r="F10" s="171"/>
      <c r="G10" s="85" t="s">
        <v>240</v>
      </c>
      <c r="H10" s="216">
        <v>100</v>
      </c>
      <c r="I10" s="131"/>
      <c r="J10" s="129"/>
    </row>
    <row r="11" spans="1:11" s="84" customFormat="1" x14ac:dyDescent="0.25">
      <c r="A11" s="171"/>
      <c r="B11" s="85" t="s">
        <v>258</v>
      </c>
      <c r="D11" s="164">
        <v>45504</v>
      </c>
      <c r="E11" s="132">
        <f>ROUND(((MAX(D11:D12)-D10)/7),0)</f>
        <v>46</v>
      </c>
      <c r="F11" s="171"/>
      <c r="G11" s="85" t="s">
        <v>245</v>
      </c>
      <c r="H11" s="216">
        <v>200</v>
      </c>
      <c r="I11" s="127">
        <f>MAX(H10:H11)</f>
        <v>200</v>
      </c>
      <c r="J11" s="133" t="s">
        <v>393</v>
      </c>
    </row>
    <row r="12" spans="1:11" s="84" customFormat="1" x14ac:dyDescent="0.25">
      <c r="A12" s="171"/>
      <c r="B12" s="121" t="s">
        <v>259</v>
      </c>
      <c r="C12" s="85" t="s">
        <v>260</v>
      </c>
      <c r="D12" s="164">
        <v>45504</v>
      </c>
      <c r="E12" s="130" t="s">
        <v>279</v>
      </c>
      <c r="F12" s="171"/>
      <c r="G12" s="85" t="s">
        <v>295</v>
      </c>
      <c r="H12" s="216">
        <v>40</v>
      </c>
      <c r="I12" s="129"/>
      <c r="J12" s="129"/>
    </row>
    <row r="13" spans="1:11" s="118" customFormat="1" x14ac:dyDescent="0.25">
      <c r="A13" s="171"/>
      <c r="D13" s="87"/>
      <c r="E13" s="130">
        <v>52</v>
      </c>
      <c r="F13" s="171"/>
      <c r="G13" s="85" t="s">
        <v>278</v>
      </c>
      <c r="H13" s="216">
        <v>40</v>
      </c>
      <c r="I13" s="361">
        <f>SUM(H12:H13)</f>
        <v>80</v>
      </c>
      <c r="J13" s="133" t="s">
        <v>394</v>
      </c>
    </row>
    <row r="14" spans="1:11" x14ac:dyDescent="0.25">
      <c r="A14" s="171">
        <v>2</v>
      </c>
      <c r="B14" s="84" t="s">
        <v>219</v>
      </c>
      <c r="C14" s="118"/>
      <c r="D14" s="120"/>
      <c r="G14" s="85" t="s">
        <v>243</v>
      </c>
      <c r="H14" s="216">
        <v>10</v>
      </c>
      <c r="I14" s="126"/>
      <c r="J14" s="126"/>
    </row>
    <row r="15" spans="1:11" x14ac:dyDescent="0.25">
      <c r="B15" s="84" t="s">
        <v>246</v>
      </c>
      <c r="D15" s="120"/>
      <c r="G15" s="85" t="s">
        <v>244</v>
      </c>
      <c r="H15" s="216">
        <v>20</v>
      </c>
      <c r="I15" s="126"/>
      <c r="J15" s="126"/>
    </row>
    <row r="16" spans="1:11" x14ac:dyDescent="0.25">
      <c r="B16" s="118" t="s">
        <v>220</v>
      </c>
      <c r="D16" s="120"/>
      <c r="G16" s="85" t="s">
        <v>310</v>
      </c>
      <c r="H16" s="216">
        <v>50</v>
      </c>
      <c r="I16" s="127">
        <f>SUM(H12:H16)</f>
        <v>160</v>
      </c>
      <c r="J16" s="127">
        <f>(SUM(I11:I16))*E13</f>
        <v>22880</v>
      </c>
    </row>
    <row r="17" spans="1:11" x14ac:dyDescent="0.25">
      <c r="B17" s="118" t="s">
        <v>296</v>
      </c>
      <c r="D17" s="173" t="s">
        <v>330</v>
      </c>
      <c r="E17" s="174"/>
      <c r="H17" s="120"/>
      <c r="I17" s="126"/>
      <c r="J17" s="126"/>
    </row>
    <row r="18" spans="1:11" x14ac:dyDescent="0.25">
      <c r="B18" s="85" t="s">
        <v>221</v>
      </c>
      <c r="D18" s="164">
        <v>45194</v>
      </c>
      <c r="E18" s="125">
        <f>D19-1</f>
        <v>45319</v>
      </c>
      <c r="F18" s="119">
        <v>8</v>
      </c>
      <c r="G18" s="84" t="s">
        <v>249</v>
      </c>
      <c r="H18" s="120"/>
      <c r="I18" s="126"/>
      <c r="J18" s="126"/>
    </row>
    <row r="19" spans="1:11" x14ac:dyDescent="0.25">
      <c r="B19" s="85" t="s">
        <v>223</v>
      </c>
      <c r="D19" s="164">
        <v>45320</v>
      </c>
      <c r="E19" s="125">
        <f>IF((D20&gt;0),(D20-1),(MAX(D10:D11)))</f>
        <v>45410</v>
      </c>
      <c r="G19" s="85" t="s">
        <v>357</v>
      </c>
      <c r="H19" s="216">
        <v>1000</v>
      </c>
      <c r="I19" s="127">
        <f>H19*2</f>
        <v>2000</v>
      </c>
      <c r="J19" s="358" t="s">
        <v>395</v>
      </c>
    </row>
    <row r="20" spans="1:11" x14ac:dyDescent="0.25">
      <c r="B20" s="85" t="s">
        <v>222</v>
      </c>
      <c r="D20" s="164">
        <v>45411</v>
      </c>
      <c r="E20" s="125">
        <f>IF((D21&gt;0),(D21-1),(MAX(D11:D12)))</f>
        <v>45504</v>
      </c>
      <c r="G20" s="85" t="s">
        <v>356</v>
      </c>
      <c r="H20" s="216">
        <v>400</v>
      </c>
      <c r="I20" s="359"/>
      <c r="J20" s="360"/>
    </row>
    <row r="21" spans="1:11" x14ac:dyDescent="0.25">
      <c r="B21" s="85" t="s">
        <v>224</v>
      </c>
      <c r="D21" s="164"/>
      <c r="E21" s="125">
        <f>IF((D22&gt;0),(D22-1),(MAX(D11:D12)))</f>
        <v>45504</v>
      </c>
      <c r="G21" s="85" t="s">
        <v>375</v>
      </c>
      <c r="H21" s="216">
        <v>600</v>
      </c>
      <c r="I21" s="359"/>
      <c r="J21" s="360"/>
    </row>
    <row r="22" spans="1:11" x14ac:dyDescent="0.25">
      <c r="E22" s="125">
        <f>E18</f>
        <v>45319</v>
      </c>
      <c r="F22" s="204" t="s">
        <v>298</v>
      </c>
      <c r="G22" s="215" t="s">
        <v>464</v>
      </c>
      <c r="H22" s="216">
        <v>833</v>
      </c>
      <c r="I22" s="127">
        <f>SUM(H20:H22)</f>
        <v>1833</v>
      </c>
      <c r="J22" s="360" t="s">
        <v>396</v>
      </c>
    </row>
    <row r="23" spans="1:11" x14ac:dyDescent="0.25">
      <c r="A23" s="171">
        <v>3</v>
      </c>
      <c r="B23" s="84" t="s">
        <v>274</v>
      </c>
      <c r="D23" s="120"/>
      <c r="E23" s="125">
        <f>IF((D20&gt;1),(D20-1),E7)</f>
        <v>45410</v>
      </c>
      <c r="F23" s="204" t="s">
        <v>299</v>
      </c>
      <c r="G23" s="165" t="s">
        <v>397</v>
      </c>
      <c r="H23" s="216">
        <v>0</v>
      </c>
      <c r="I23" s="359"/>
      <c r="J23" s="360"/>
    </row>
    <row r="24" spans="1:11" x14ac:dyDescent="0.25">
      <c r="C24" s="118" t="s">
        <v>241</v>
      </c>
      <c r="D24" s="120"/>
      <c r="E24" s="125">
        <f>IF((D21&gt;1),(D21-1),E7)</f>
        <v>45558</v>
      </c>
      <c r="F24" s="204" t="s">
        <v>300</v>
      </c>
      <c r="G24" s="165" t="s">
        <v>398</v>
      </c>
      <c r="H24" s="216">
        <v>0</v>
      </c>
      <c r="I24" s="359"/>
      <c r="J24" s="360"/>
    </row>
    <row r="25" spans="1:11" x14ac:dyDescent="0.25">
      <c r="C25" s="118" t="s">
        <v>242</v>
      </c>
      <c r="D25" s="120"/>
      <c r="E25" s="125">
        <f>IF((D22&gt;1),(D22-1),E7)</f>
        <v>45558</v>
      </c>
      <c r="F25" s="204" t="s">
        <v>301</v>
      </c>
      <c r="G25" s="165" t="s">
        <v>399</v>
      </c>
      <c r="H25" s="216">
        <v>0</v>
      </c>
      <c r="I25" s="127">
        <f>SUM(H23:H25)</f>
        <v>0</v>
      </c>
      <c r="J25" s="358" t="s">
        <v>400</v>
      </c>
    </row>
    <row r="26" spans="1:11" x14ac:dyDescent="0.25">
      <c r="C26" s="122" t="s">
        <v>227</v>
      </c>
      <c r="D26" s="166" t="s">
        <v>459</v>
      </c>
    </row>
    <row r="27" spans="1:11" x14ac:dyDescent="0.25">
      <c r="C27" s="122" t="s">
        <v>228</v>
      </c>
      <c r="D27" s="166" t="s">
        <v>460</v>
      </c>
    </row>
    <row r="28" spans="1:11" x14ac:dyDescent="0.25">
      <c r="C28" s="122" t="s">
        <v>229</v>
      </c>
      <c r="D28" s="166" t="s">
        <v>461</v>
      </c>
      <c r="F28" s="119">
        <v>9</v>
      </c>
      <c r="G28" s="84" t="s">
        <v>319</v>
      </c>
      <c r="H28" s="84"/>
      <c r="I28" s="173" t="s">
        <v>317</v>
      </c>
      <c r="J28" s="174"/>
      <c r="K28" s="208"/>
    </row>
    <row r="29" spans="1:11" x14ac:dyDescent="0.25">
      <c r="C29" s="122" t="s">
        <v>230</v>
      </c>
      <c r="D29" s="166"/>
      <c r="G29" s="118" t="s">
        <v>225</v>
      </c>
      <c r="H29" s="118" t="s">
        <v>226</v>
      </c>
      <c r="I29" s="207">
        <v>43962</v>
      </c>
      <c r="J29" s="85" t="s">
        <v>376</v>
      </c>
    </row>
    <row r="30" spans="1:11" x14ac:dyDescent="0.25">
      <c r="C30" s="122" t="s">
        <v>231</v>
      </c>
      <c r="D30" s="166"/>
      <c r="G30" s="118" t="s">
        <v>277</v>
      </c>
      <c r="H30" s="118" t="s">
        <v>226</v>
      </c>
      <c r="I30" s="207">
        <v>44136</v>
      </c>
    </row>
    <row r="31" spans="1:11" x14ac:dyDescent="0.25">
      <c r="C31" s="122" t="s">
        <v>232</v>
      </c>
      <c r="D31" s="166"/>
      <c r="G31" s="118" t="s">
        <v>235</v>
      </c>
      <c r="H31" s="84" t="s">
        <v>200</v>
      </c>
      <c r="I31" s="171" t="s">
        <v>39</v>
      </c>
      <c r="J31" s="171" t="s">
        <v>199</v>
      </c>
    </row>
    <row r="32" spans="1:11" x14ac:dyDescent="0.25">
      <c r="C32" s="122" t="s">
        <v>233</v>
      </c>
      <c r="D32" s="166"/>
      <c r="G32" s="118" t="s">
        <v>313</v>
      </c>
      <c r="H32" s="85" t="s">
        <v>198</v>
      </c>
      <c r="I32" s="172">
        <v>1.25</v>
      </c>
      <c r="J32" s="172">
        <v>0</v>
      </c>
    </row>
    <row r="33" spans="1:11" x14ac:dyDescent="0.25">
      <c r="C33" s="122" t="s">
        <v>234</v>
      </c>
      <c r="D33" s="166"/>
      <c r="H33" s="85" t="s">
        <v>201</v>
      </c>
      <c r="I33" s="172">
        <v>1.35</v>
      </c>
      <c r="J33" s="172">
        <v>0</v>
      </c>
    </row>
    <row r="34" spans="1:11" x14ac:dyDescent="0.25">
      <c r="H34" s="85" t="s">
        <v>202</v>
      </c>
      <c r="I34" s="172">
        <v>1.3</v>
      </c>
      <c r="J34" s="172">
        <v>0</v>
      </c>
    </row>
    <row r="35" spans="1:11" x14ac:dyDescent="0.25">
      <c r="A35" s="171">
        <v>4</v>
      </c>
      <c r="B35" s="84" t="s">
        <v>377</v>
      </c>
      <c r="H35" s="85" t="s">
        <v>203</v>
      </c>
      <c r="I35" s="172">
        <v>0</v>
      </c>
      <c r="J35" s="172">
        <v>0</v>
      </c>
      <c r="K35" s="84"/>
    </row>
    <row r="36" spans="1:11" x14ac:dyDescent="0.25">
      <c r="B36" s="118" t="s">
        <v>237</v>
      </c>
      <c r="D36" s="173" t="s">
        <v>327</v>
      </c>
      <c r="E36" s="173"/>
      <c r="F36" s="205"/>
      <c r="H36" s="85" t="s">
        <v>204</v>
      </c>
      <c r="I36" s="172">
        <v>0</v>
      </c>
      <c r="J36" s="172"/>
      <c r="K36" s="118"/>
    </row>
    <row r="37" spans="1:11" x14ac:dyDescent="0.25">
      <c r="B37" s="118" t="s">
        <v>378</v>
      </c>
      <c r="C37" s="118" t="s">
        <v>79</v>
      </c>
      <c r="D37" s="169" t="s">
        <v>213</v>
      </c>
      <c r="E37" s="169" t="s">
        <v>214</v>
      </c>
      <c r="H37" s="85" t="s">
        <v>205</v>
      </c>
      <c r="I37" s="172">
        <v>0</v>
      </c>
      <c r="J37" s="172"/>
    </row>
    <row r="38" spans="1:11" s="84" customFormat="1" x14ac:dyDescent="0.25">
      <c r="A38" s="171"/>
      <c r="B38" s="118"/>
      <c r="C38" s="85" t="s">
        <v>210</v>
      </c>
      <c r="D38" s="166">
        <v>1.0589999999999999</v>
      </c>
      <c r="E38" s="166">
        <v>0</v>
      </c>
      <c r="F38" s="171"/>
      <c r="G38" s="85"/>
      <c r="H38" s="85" t="s">
        <v>206</v>
      </c>
      <c r="I38" s="172"/>
      <c r="J38" s="172"/>
      <c r="K38" s="85"/>
    </row>
    <row r="39" spans="1:11" s="118" customFormat="1" x14ac:dyDescent="0.25">
      <c r="A39" s="171"/>
      <c r="B39" s="85"/>
      <c r="C39" s="85" t="s">
        <v>211</v>
      </c>
      <c r="D39" s="166">
        <v>1.0589999999999999</v>
      </c>
      <c r="E39" s="166">
        <v>0</v>
      </c>
      <c r="F39" s="171"/>
      <c r="G39" s="85"/>
      <c r="H39" s="85" t="s">
        <v>207</v>
      </c>
      <c r="I39" s="172"/>
      <c r="J39" s="172"/>
      <c r="K39" s="85"/>
    </row>
    <row r="40" spans="1:11" x14ac:dyDescent="0.25">
      <c r="C40" s="85" t="s">
        <v>212</v>
      </c>
      <c r="D40" s="166">
        <v>4.2359999999999998</v>
      </c>
      <c r="E40" s="166">
        <v>0</v>
      </c>
      <c r="G40" s="82"/>
      <c r="H40" s="85" t="s">
        <v>208</v>
      </c>
      <c r="I40" s="172"/>
      <c r="J40" s="172"/>
    </row>
    <row r="41" spans="1:11" x14ac:dyDescent="0.25">
      <c r="C41" s="130" t="s">
        <v>273</v>
      </c>
      <c r="D41" s="170">
        <f>MAX(D38:D40)</f>
        <v>4.2359999999999998</v>
      </c>
      <c r="E41" s="121"/>
      <c r="G41" s="134"/>
      <c r="H41" s="85" t="s">
        <v>209</v>
      </c>
      <c r="I41" s="172"/>
      <c r="J41" s="172"/>
    </row>
    <row r="42" spans="1:11" x14ac:dyDescent="0.25">
      <c r="G42" s="134"/>
      <c r="H42" s="130" t="s">
        <v>248</v>
      </c>
      <c r="I42" s="170">
        <f>MAX(I32:I41)</f>
        <v>1.35</v>
      </c>
      <c r="J42" s="170">
        <f>MAX(J32:J41)</f>
        <v>0</v>
      </c>
    </row>
    <row r="43" spans="1:11" ht="13.8" thickBot="1" x14ac:dyDescent="0.3">
      <c r="A43" s="171">
        <v>5</v>
      </c>
      <c r="B43" s="84" t="s">
        <v>340</v>
      </c>
      <c r="G43" s="134"/>
      <c r="H43" s="135"/>
      <c r="I43" s="135"/>
      <c r="J43" s="135"/>
    </row>
    <row r="44" spans="1:11" ht="13.8" thickBot="1" x14ac:dyDescent="0.3">
      <c r="B44" s="118" t="s">
        <v>329</v>
      </c>
      <c r="G44" s="130" t="s">
        <v>272</v>
      </c>
      <c r="H44" s="130">
        <f>IF((I44&gt;0),I44,(ROUND((I42+(I42*(J42/100))),2)))</f>
        <v>1.35</v>
      </c>
      <c r="I44" s="244"/>
    </row>
    <row r="45" spans="1:11" x14ac:dyDescent="0.25">
      <c r="B45" s="118"/>
      <c r="D45" s="173" t="s">
        <v>328</v>
      </c>
      <c r="E45" s="173"/>
      <c r="F45" s="205"/>
      <c r="I45" s="118"/>
      <c r="J45" s="118"/>
    </row>
    <row r="46" spans="1:11" ht="26.4" x14ac:dyDescent="0.25">
      <c r="B46" s="136" t="s">
        <v>82</v>
      </c>
      <c r="C46" s="136" t="s">
        <v>75</v>
      </c>
      <c r="D46" s="136" t="s">
        <v>284</v>
      </c>
      <c r="E46" s="136" t="s">
        <v>285</v>
      </c>
      <c r="G46" s="130" t="s">
        <v>366</v>
      </c>
      <c r="H46" s="137">
        <f>ROUND(((SUM(J7:J25))*H44),0)</f>
        <v>57888</v>
      </c>
    </row>
    <row r="47" spans="1:11" x14ac:dyDescent="0.25">
      <c r="B47" s="121" t="s">
        <v>280</v>
      </c>
      <c r="C47" s="167">
        <v>3500</v>
      </c>
      <c r="D47" s="167">
        <v>2000</v>
      </c>
      <c r="E47" s="167">
        <v>6000</v>
      </c>
      <c r="G47" s="130" t="s">
        <v>286</v>
      </c>
      <c r="H47" s="138">
        <f>ROUND((H46*0.1),0)</f>
        <v>5789</v>
      </c>
    </row>
    <row r="48" spans="1:11" x14ac:dyDescent="0.25">
      <c r="B48" s="121" t="s">
        <v>281</v>
      </c>
      <c r="C48" s="167">
        <v>4500</v>
      </c>
      <c r="D48" s="167">
        <v>2000</v>
      </c>
      <c r="E48" s="167">
        <v>6000</v>
      </c>
      <c r="G48" s="130"/>
      <c r="H48" s="137">
        <f>SUM(H46:H47)</f>
        <v>63677</v>
      </c>
    </row>
    <row r="49" spans="1:8" x14ac:dyDescent="0.25">
      <c r="B49" s="121" t="s">
        <v>282</v>
      </c>
      <c r="C49" s="167">
        <v>5500</v>
      </c>
      <c r="D49" s="167">
        <v>2000</v>
      </c>
      <c r="E49" s="167">
        <v>7000</v>
      </c>
      <c r="G49" s="130" t="s">
        <v>287</v>
      </c>
      <c r="H49" s="130">
        <f>H48/100*D41</f>
        <v>2697.35772</v>
      </c>
    </row>
    <row r="50" spans="1:8" ht="13.8" thickBot="1" x14ac:dyDescent="0.3">
      <c r="B50" s="121" t="s">
        <v>283</v>
      </c>
      <c r="C50" s="167">
        <v>5500</v>
      </c>
      <c r="D50" s="167">
        <v>2000</v>
      </c>
      <c r="E50" s="167">
        <v>7000</v>
      </c>
      <c r="G50" s="130" t="s">
        <v>291</v>
      </c>
      <c r="H50" s="139">
        <f>SUM(H48:H49)</f>
        <v>66374.35772</v>
      </c>
    </row>
    <row r="51" spans="1:8" ht="13.8" thickTop="1" x14ac:dyDescent="0.25">
      <c r="B51" s="121" t="s">
        <v>85</v>
      </c>
      <c r="C51" s="167">
        <v>0</v>
      </c>
      <c r="D51" s="167">
        <v>0</v>
      </c>
      <c r="E51" s="167">
        <v>20500</v>
      </c>
    </row>
    <row r="52" spans="1:8" x14ac:dyDescent="0.25">
      <c r="E52" s="123"/>
    </row>
    <row r="54" spans="1:8" s="84" customFormat="1" x14ac:dyDescent="0.25">
      <c r="A54" s="171">
        <v>10</v>
      </c>
      <c r="B54" s="84" t="s">
        <v>339</v>
      </c>
      <c r="F54" s="171"/>
    </row>
    <row r="55" spans="1:8" x14ac:dyDescent="0.25">
      <c r="C55" s="85" t="s">
        <v>83</v>
      </c>
      <c r="D55" s="85" t="s">
        <v>84</v>
      </c>
      <c r="E55" s="85" t="s">
        <v>341</v>
      </c>
    </row>
    <row r="56" spans="1:8" x14ac:dyDescent="0.25">
      <c r="B56" s="85" t="s">
        <v>342</v>
      </c>
      <c r="C56" s="209" t="e">
        <f>#REF!</f>
        <v>#REF!</v>
      </c>
      <c r="D56" s="209">
        <f>E7</f>
        <v>45558</v>
      </c>
      <c r="E56" s="85" t="e">
        <f>ROUND(((D56-C56)/7),0)</f>
        <v>#REF!</v>
      </c>
    </row>
    <row r="57" spans="1:8" x14ac:dyDescent="0.25">
      <c r="B57" s="85" t="s">
        <v>343</v>
      </c>
      <c r="C57" s="209" t="e">
        <f>C56</f>
        <v>#REF!</v>
      </c>
      <c r="D57" s="209">
        <f>D11</f>
        <v>45504</v>
      </c>
      <c r="E57" s="85" t="e">
        <f>ROUND(((D57-C57)/7),0)</f>
        <v>#REF!</v>
      </c>
    </row>
    <row r="59" spans="1:8" x14ac:dyDescent="0.25">
      <c r="A59" s="171">
        <v>11</v>
      </c>
      <c r="B59" s="85" t="s">
        <v>413</v>
      </c>
      <c r="C59" s="85" t="s">
        <v>414</v>
      </c>
      <c r="D59" s="85" t="s">
        <v>415</v>
      </c>
    </row>
    <row r="60" spans="1:8" x14ac:dyDescent="0.25">
      <c r="B60" s="85" t="s">
        <v>416</v>
      </c>
    </row>
    <row r="61" spans="1:8" x14ac:dyDescent="0.25">
      <c r="B61" s="85" t="s">
        <v>417</v>
      </c>
    </row>
    <row r="62" spans="1:8" x14ac:dyDescent="0.25">
      <c r="B62" s="85" t="s">
        <v>342</v>
      </c>
    </row>
  </sheetData>
  <sheetProtection selectLockedCells="1"/>
  <phoneticPr fontId="5" type="noConversion"/>
  <pageMargins left="0.75" right="0.75" top="1" bottom="1" header="0.5" footer="0.5"/>
  <pageSetup paperSize="9" scale="5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66"/>
  <sheetViews>
    <sheetView topLeftCell="A36" workbookViewId="0">
      <selection activeCell="B52" sqref="B52"/>
    </sheetView>
  </sheetViews>
  <sheetFormatPr defaultRowHeight="13.2" x14ac:dyDescent="0.25"/>
  <cols>
    <col min="1" max="1" width="29.33203125" style="85" customWidth="1"/>
    <col min="2" max="2" width="61.6640625" style="85" customWidth="1"/>
  </cols>
  <sheetData>
    <row r="1" spans="1:7" ht="15.6" x14ac:dyDescent="0.3">
      <c r="A1" s="93" t="str">
        <f>'Cost of Attendance'!C15&amp;" "&amp;'Cost of Attendance'!C14</f>
        <v>forename - first name(s) surname - family name</v>
      </c>
      <c r="B1" s="39"/>
      <c r="C1" s="36"/>
      <c r="D1" s="36"/>
      <c r="E1" s="36"/>
      <c r="F1" s="36"/>
      <c r="G1" s="36"/>
    </row>
    <row r="2" spans="1:7" ht="15.6" x14ac:dyDescent="0.3">
      <c r="A2" s="94" t="str">
        <f>'Cost of Attendance'!C16</f>
        <v>line 1</v>
      </c>
      <c r="B2" s="39"/>
      <c r="C2" s="36"/>
      <c r="D2" s="36"/>
      <c r="E2" s="36"/>
      <c r="F2" s="36"/>
      <c r="G2" s="36"/>
    </row>
    <row r="3" spans="1:7" ht="15.6" x14ac:dyDescent="0.3">
      <c r="A3" s="94" t="str">
        <f>'Cost of Attendance'!C17</f>
        <v>line 2</v>
      </c>
      <c r="B3" s="39"/>
      <c r="C3" s="36"/>
      <c r="D3" s="36"/>
      <c r="E3" s="36"/>
      <c r="F3" s="36"/>
      <c r="G3" s="36"/>
    </row>
    <row r="4" spans="1:7" ht="15.6" x14ac:dyDescent="0.3">
      <c r="A4" s="94" t="str">
        <f>'Cost of Attendance'!C18</f>
        <v>line 3</v>
      </c>
      <c r="B4" s="39"/>
      <c r="C4" s="36"/>
      <c r="D4" s="36"/>
      <c r="E4" s="36"/>
      <c r="F4" s="36"/>
      <c r="G4" s="36"/>
    </row>
    <row r="5" spans="1:7" ht="15.6" x14ac:dyDescent="0.3">
      <c r="A5" s="94" t="str">
        <f>'Cost of Attendance'!C19</f>
        <v>line 4</v>
      </c>
      <c r="B5" s="39"/>
      <c r="C5" s="36"/>
      <c r="D5" s="36"/>
      <c r="E5" s="36"/>
      <c r="F5" s="36"/>
      <c r="G5" s="36"/>
    </row>
    <row r="6" spans="1:7" ht="15.6" x14ac:dyDescent="0.3">
      <c r="A6" s="94" t="str">
        <f>'Cost of Attendance'!C20</f>
        <v>postcode/zipcode</v>
      </c>
      <c r="B6" s="39"/>
      <c r="C6" s="36"/>
      <c r="D6" s="36"/>
      <c r="E6" s="36"/>
      <c r="F6" s="36"/>
      <c r="G6" s="36"/>
    </row>
    <row r="7" spans="1:7" x14ac:dyDescent="0.25">
      <c r="A7" s="95"/>
      <c r="B7" s="39"/>
      <c r="C7" s="36"/>
      <c r="D7" s="36"/>
      <c r="E7" s="36"/>
      <c r="F7" s="36"/>
      <c r="G7" s="36"/>
    </row>
    <row r="8" spans="1:7" x14ac:dyDescent="0.25">
      <c r="A8" s="96"/>
      <c r="B8" s="39"/>
      <c r="C8" s="36"/>
      <c r="D8" s="36"/>
      <c r="E8" s="36"/>
      <c r="F8" s="36"/>
      <c r="G8" s="36"/>
    </row>
    <row r="9" spans="1:7" x14ac:dyDescent="0.25">
      <c r="B9" s="39"/>
      <c r="C9" s="36"/>
      <c r="D9" s="36"/>
      <c r="E9" s="36"/>
      <c r="F9" s="36"/>
      <c r="G9" s="36"/>
    </row>
    <row r="10" spans="1:7" x14ac:dyDescent="0.25">
      <c r="A10" s="39"/>
      <c r="B10" s="39"/>
      <c r="C10" s="36"/>
      <c r="D10" s="36"/>
      <c r="E10" s="36"/>
      <c r="F10" s="36"/>
      <c r="G10" s="36"/>
    </row>
    <row r="11" spans="1:7" ht="22.8" x14ac:dyDescent="0.4">
      <c r="A11" s="38" t="s">
        <v>102</v>
      </c>
      <c r="B11" s="39"/>
      <c r="C11" s="36"/>
      <c r="D11" s="36"/>
      <c r="E11" s="36"/>
      <c r="F11" s="36"/>
      <c r="G11" s="36"/>
    </row>
    <row r="12" spans="1:7" ht="22.8" x14ac:dyDescent="0.4">
      <c r="A12" s="67" t="str">
        <f>'Cost of Attendance'!C4</f>
        <v>for Academic Year 2023/24</v>
      </c>
      <c r="B12" s="39"/>
      <c r="C12" s="36"/>
      <c r="D12" s="36"/>
      <c r="E12" s="36"/>
      <c r="F12" s="36"/>
      <c r="G12" s="36"/>
    </row>
    <row r="13" spans="1:7" x14ac:dyDescent="0.25">
      <c r="A13" s="39"/>
      <c r="B13" s="39"/>
      <c r="C13" s="36"/>
      <c r="D13" s="36"/>
      <c r="E13" s="36"/>
      <c r="F13" s="36"/>
      <c r="G13" s="36"/>
    </row>
    <row r="14" spans="1:7" x14ac:dyDescent="0.25">
      <c r="A14" s="39"/>
      <c r="B14" s="39"/>
      <c r="C14" s="36"/>
      <c r="D14" s="36"/>
      <c r="E14" s="36"/>
      <c r="F14" s="36"/>
      <c r="G14" s="36"/>
    </row>
    <row r="15" spans="1:7" ht="18" x14ac:dyDescent="0.35">
      <c r="A15" s="40" t="s">
        <v>103</v>
      </c>
      <c r="B15" s="39"/>
      <c r="C15" s="36"/>
      <c r="D15" s="36"/>
      <c r="E15" s="36"/>
      <c r="F15" s="36"/>
      <c r="G15" s="36"/>
    </row>
    <row r="16" spans="1:7" x14ac:dyDescent="0.25">
      <c r="A16" s="39"/>
      <c r="B16" s="39"/>
      <c r="C16" s="36"/>
      <c r="D16" s="36"/>
      <c r="E16" s="36"/>
      <c r="F16" s="36"/>
      <c r="G16" s="36"/>
    </row>
    <row r="17" spans="1:7" s="44" customFormat="1" ht="15.6" x14ac:dyDescent="0.3">
      <c r="A17" s="41" t="s">
        <v>104</v>
      </c>
      <c r="B17" s="97" t="str">
        <f>'Cost of Attendance'!C15&amp;" "&amp;'Cost of Attendance'!C14</f>
        <v>forename - first name(s) surname - family name</v>
      </c>
      <c r="C17" s="43"/>
      <c r="D17" s="43"/>
      <c r="E17" s="43"/>
      <c r="F17" s="43"/>
      <c r="G17" s="43"/>
    </row>
    <row r="18" spans="1:7" s="44" customFormat="1" ht="15.6" x14ac:dyDescent="0.3">
      <c r="A18" s="41" t="s">
        <v>306</v>
      </c>
      <c r="B18" s="98">
        <f>'Cost of Attendance'!C22</f>
        <v>0</v>
      </c>
      <c r="C18" s="43"/>
      <c r="D18" s="43"/>
      <c r="E18" s="43"/>
      <c r="F18" s="43"/>
      <c r="G18" s="43"/>
    </row>
    <row r="19" spans="1:7" s="44" customFormat="1" ht="15.6" x14ac:dyDescent="0.3">
      <c r="A19" s="41" t="s">
        <v>106</v>
      </c>
      <c r="B19" s="99" t="str">
        <f>'Cost of Attendance'!C24</f>
        <v>201700000</v>
      </c>
      <c r="C19" s="43"/>
      <c r="D19" s="43"/>
      <c r="E19" s="43"/>
      <c r="F19" s="43"/>
      <c r="G19" s="43"/>
    </row>
    <row r="20" spans="1:7" x14ac:dyDescent="0.25">
      <c r="A20" s="39"/>
      <c r="B20" s="39"/>
      <c r="C20" s="36"/>
      <c r="D20" s="36"/>
      <c r="E20" s="36"/>
      <c r="F20" s="36"/>
      <c r="G20" s="36"/>
    </row>
    <row r="21" spans="1:7" s="1" customFormat="1" ht="15.6" x14ac:dyDescent="0.3">
      <c r="A21" s="63" t="s">
        <v>107</v>
      </c>
      <c r="B21" s="63"/>
      <c r="C21" s="64"/>
      <c r="D21" s="64"/>
      <c r="E21" s="64"/>
      <c r="F21" s="64"/>
      <c r="G21" s="64"/>
    </row>
    <row r="22" spans="1:7" s="1" customFormat="1" ht="15.6" x14ac:dyDescent="0.3">
      <c r="A22" s="63"/>
      <c r="B22" s="63"/>
      <c r="C22" s="64"/>
      <c r="D22" s="64"/>
      <c r="E22" s="64"/>
      <c r="F22" s="64"/>
      <c r="G22" s="64"/>
    </row>
    <row r="23" spans="1:7" s="1" customFormat="1" ht="15.6" x14ac:dyDescent="0.3">
      <c r="A23" s="63" t="s">
        <v>138</v>
      </c>
      <c r="B23" s="63"/>
      <c r="C23" s="64"/>
      <c r="D23" s="64"/>
      <c r="E23" s="64"/>
      <c r="F23" s="64"/>
      <c r="G23" s="64"/>
    </row>
    <row r="24" spans="1:7" s="1" customFormat="1" ht="15.6" x14ac:dyDescent="0.3">
      <c r="A24" s="63" t="s">
        <v>108</v>
      </c>
      <c r="B24" s="63"/>
      <c r="C24" s="64"/>
      <c r="D24" s="64"/>
      <c r="E24" s="64"/>
      <c r="F24" s="64"/>
      <c r="G24" s="64"/>
    </row>
    <row r="25" spans="1:7" s="1" customFormat="1" ht="15.6" x14ac:dyDescent="0.3">
      <c r="A25" s="63" t="s">
        <v>109</v>
      </c>
      <c r="B25" s="63"/>
      <c r="C25" s="64"/>
      <c r="D25" s="64"/>
      <c r="E25" s="64"/>
      <c r="F25" s="64"/>
      <c r="G25" s="64"/>
    </row>
    <row r="26" spans="1:7" s="65" customFormat="1" ht="15.6" x14ac:dyDescent="0.3">
      <c r="A26" s="63" t="s">
        <v>110</v>
      </c>
      <c r="B26" s="63"/>
      <c r="C26" s="63"/>
      <c r="D26" s="63"/>
      <c r="E26" s="63"/>
      <c r="F26" s="63"/>
      <c r="G26" s="63"/>
    </row>
    <row r="27" spans="1:7" s="1" customFormat="1" ht="15.6" x14ac:dyDescent="0.3">
      <c r="A27" s="63"/>
      <c r="B27" s="63"/>
      <c r="C27" s="64"/>
      <c r="D27" s="64"/>
      <c r="E27" s="64"/>
      <c r="F27" s="64"/>
      <c r="G27" s="64"/>
    </row>
    <row r="28" spans="1:7" s="1" customFormat="1" ht="15.6" x14ac:dyDescent="0.3">
      <c r="A28" s="63" t="s">
        <v>111</v>
      </c>
      <c r="B28" s="63"/>
      <c r="C28" s="64"/>
      <c r="D28" s="64"/>
      <c r="E28" s="64"/>
      <c r="F28" s="64"/>
      <c r="G28" s="64"/>
    </row>
    <row r="29" spans="1:7" s="55" customFormat="1" ht="15.6" x14ac:dyDescent="0.3">
      <c r="A29" s="56" t="s">
        <v>112</v>
      </c>
      <c r="B29" s="100">
        <f>IF(('Cost of Attendance'!D34="n"),'Cost of Attendance'!J15,'Cost of Attendance'!J13)</f>
        <v>45194</v>
      </c>
      <c r="C29" s="54"/>
      <c r="D29" s="54"/>
      <c r="E29" s="54"/>
      <c r="F29" s="54"/>
      <c r="G29" s="54"/>
    </row>
    <row r="30" spans="1:7" s="55" customFormat="1" ht="15.6" x14ac:dyDescent="0.3">
      <c r="A30" s="56" t="s">
        <v>113</v>
      </c>
      <c r="B30" s="100">
        <f>IF(('Cost of Attendance'!D34="n"),'Cost of Attendance'!J16,'Cost of Attendance'!J14)</f>
        <v>45504</v>
      </c>
      <c r="C30" s="54"/>
      <c r="D30" s="54"/>
      <c r="E30" s="54"/>
      <c r="F30" s="54"/>
      <c r="G30" s="54"/>
    </row>
    <row r="31" spans="1:7" ht="15.75" customHeight="1" x14ac:dyDescent="0.25">
      <c r="A31" s="39"/>
      <c r="B31" s="39"/>
      <c r="C31" s="36"/>
      <c r="D31" s="36"/>
      <c r="E31" s="36"/>
      <c r="F31" s="36"/>
      <c r="G31" s="36"/>
    </row>
    <row r="32" spans="1:7" ht="15.75" customHeight="1" x14ac:dyDescent="0.3">
      <c r="A32" s="63" t="s">
        <v>276</v>
      </c>
      <c r="B32" s="39"/>
      <c r="C32" s="36"/>
      <c r="D32" s="36"/>
      <c r="E32" s="36"/>
      <c r="F32" s="36"/>
      <c r="G32" s="36"/>
    </row>
    <row r="33" spans="1:7" s="65" customFormat="1" ht="15.75" customHeight="1" x14ac:dyDescent="0.3">
      <c r="A33" s="65" t="s">
        <v>275</v>
      </c>
      <c r="B33" s="63"/>
      <c r="C33" s="63"/>
      <c r="D33" s="63"/>
      <c r="E33" s="63"/>
      <c r="F33" s="63"/>
      <c r="G33" s="63"/>
    </row>
    <row r="34" spans="1:7" s="44" customFormat="1" ht="15.75" customHeight="1" x14ac:dyDescent="0.3">
      <c r="A34" s="41" t="s">
        <v>79</v>
      </c>
      <c r="B34" s="56" t="s">
        <v>114</v>
      </c>
      <c r="C34" s="43"/>
      <c r="D34" s="43"/>
      <c r="E34" s="43"/>
      <c r="F34" s="43"/>
      <c r="G34" s="43"/>
    </row>
    <row r="35" spans="1:7" s="44" customFormat="1" ht="15.75" customHeight="1" x14ac:dyDescent="0.3">
      <c r="A35" s="41" t="s">
        <v>115</v>
      </c>
      <c r="B35" s="210">
        <f>'Cost of Attendance'!D81</f>
        <v>3500</v>
      </c>
      <c r="C35" s="43"/>
      <c r="D35" s="43"/>
      <c r="E35" s="43"/>
      <c r="F35" s="43"/>
      <c r="G35" s="43"/>
    </row>
    <row r="36" spans="1:7" s="44" customFormat="1" ht="15.75" customHeight="1" x14ac:dyDescent="0.3">
      <c r="A36" s="41" t="s">
        <v>116</v>
      </c>
      <c r="B36" s="210">
        <f>'Cost of Attendance'!D82</f>
        <v>2000</v>
      </c>
      <c r="C36" s="43"/>
      <c r="D36" s="43"/>
      <c r="E36" s="43"/>
      <c r="F36" s="43"/>
      <c r="G36" s="43"/>
    </row>
    <row r="37" spans="1:7" s="44" customFormat="1" ht="15.75" customHeight="1" x14ac:dyDescent="0.3">
      <c r="A37" s="41" t="s">
        <v>117</v>
      </c>
      <c r="B37" s="210">
        <f>'Cost of Attendance'!D84</f>
        <v>22418</v>
      </c>
      <c r="C37" s="43"/>
      <c r="D37" s="43"/>
      <c r="E37" s="43"/>
      <c r="F37" s="43"/>
      <c r="G37" s="43"/>
    </row>
    <row r="38" spans="1:7" s="44" customFormat="1" ht="15.75" customHeight="1" thickBot="1" x14ac:dyDescent="0.35">
      <c r="A38" s="51" t="s">
        <v>77</v>
      </c>
      <c r="B38" s="210">
        <f>'Cost of Attendance'!D85</f>
        <v>27918</v>
      </c>
      <c r="C38" s="43"/>
      <c r="D38" s="43"/>
      <c r="E38" s="43"/>
      <c r="F38" s="43"/>
      <c r="G38" s="43"/>
    </row>
    <row r="39" spans="1:7" ht="15.75" customHeight="1" thickTop="1" x14ac:dyDescent="0.25">
      <c r="A39" s="39"/>
      <c r="B39" s="212"/>
      <c r="C39" s="36"/>
      <c r="D39" s="36"/>
      <c r="E39" s="36"/>
      <c r="F39" s="36"/>
      <c r="G39" s="36"/>
    </row>
    <row r="40" spans="1:7" s="1" customFormat="1" ht="15.75" customHeight="1" x14ac:dyDescent="0.3">
      <c r="A40" s="63" t="s">
        <v>118</v>
      </c>
      <c r="B40" s="213"/>
      <c r="C40" s="64"/>
      <c r="D40" s="64"/>
      <c r="E40" s="64"/>
      <c r="F40" s="64"/>
      <c r="G40" s="64"/>
    </row>
    <row r="41" spans="1:7" s="49" customFormat="1" ht="15.75" customHeight="1" x14ac:dyDescent="0.3">
      <c r="A41" s="100">
        <f>'Cost of Attendance'!M13</f>
        <v>45194</v>
      </c>
      <c r="B41" s="210">
        <f>'Cost of Attendance'!N13</f>
        <v>9306</v>
      </c>
      <c r="C41" s="48"/>
      <c r="D41" s="48"/>
      <c r="E41" s="48"/>
      <c r="F41" s="48"/>
      <c r="G41" s="48"/>
    </row>
    <row r="42" spans="1:7" s="49" customFormat="1" ht="15.75" customHeight="1" x14ac:dyDescent="0.3">
      <c r="A42" s="100">
        <f>'Cost of Attendance'!M14</f>
        <v>45320</v>
      </c>
      <c r="B42" s="210">
        <f>'Cost of Attendance'!N14</f>
        <v>9306</v>
      </c>
      <c r="C42" s="48"/>
      <c r="D42" s="48"/>
      <c r="E42" s="48"/>
      <c r="F42" s="48"/>
      <c r="G42" s="48"/>
    </row>
    <row r="43" spans="1:7" s="49" customFormat="1" ht="15.75" customHeight="1" x14ac:dyDescent="0.3">
      <c r="A43" s="100">
        <f>'Cost of Attendance'!M15</f>
        <v>45411</v>
      </c>
      <c r="B43" s="210">
        <f>'Cost of Attendance'!N15</f>
        <v>9306</v>
      </c>
      <c r="C43" s="48"/>
      <c r="D43" s="48"/>
      <c r="E43" s="48"/>
      <c r="F43" s="48"/>
      <c r="G43" s="48"/>
    </row>
    <row r="44" spans="1:7" s="49" customFormat="1" ht="15.75" customHeight="1" x14ac:dyDescent="0.3">
      <c r="A44" s="100" t="str">
        <f>IF(('Cost of Attendance'!M16&gt;'Cost of Attendance'!J15),'Cost of Attendance'!M16,"")</f>
        <v/>
      </c>
      <c r="B44" s="210" t="str">
        <f>'Cost of Attendance'!N16</f>
        <v/>
      </c>
      <c r="C44" s="48"/>
      <c r="D44" s="48"/>
      <c r="E44" s="48"/>
      <c r="F44" s="48"/>
      <c r="G44" s="48"/>
    </row>
    <row r="45" spans="1:7" s="49" customFormat="1" ht="15.75" customHeight="1" x14ac:dyDescent="0.3">
      <c r="A45" s="211" t="s">
        <v>348</v>
      </c>
      <c r="B45" s="210">
        <f>B38-(SUM(B41:B44))</f>
        <v>0</v>
      </c>
      <c r="C45" s="48"/>
      <c r="D45" s="48"/>
      <c r="E45" s="48"/>
      <c r="F45" s="48"/>
      <c r="G45" s="48"/>
    </row>
    <row r="46" spans="1:7" s="49" customFormat="1" ht="15.75" customHeight="1" thickBot="1" x14ac:dyDescent="0.35">
      <c r="A46" s="101" t="s">
        <v>77</v>
      </c>
      <c r="B46" s="214">
        <f>SUM(B41:B45)</f>
        <v>27918</v>
      </c>
      <c r="C46" s="48"/>
      <c r="D46" s="48"/>
      <c r="E46" s="48"/>
      <c r="F46" s="48"/>
      <c r="G46" s="48"/>
    </row>
    <row r="47" spans="1:7" ht="13.8" thickTop="1" x14ac:dyDescent="0.25">
      <c r="A47" s="39"/>
      <c r="B47" s="39"/>
      <c r="C47" s="36"/>
      <c r="D47" s="36"/>
      <c r="E47" s="36"/>
      <c r="F47" s="36"/>
      <c r="G47" s="36"/>
    </row>
    <row r="48" spans="1:7" s="1" customFormat="1" ht="15.6" x14ac:dyDescent="0.3">
      <c r="A48" s="63" t="s">
        <v>119</v>
      </c>
      <c r="B48" s="63"/>
      <c r="C48" s="64"/>
      <c r="D48" s="64"/>
      <c r="E48" s="64"/>
      <c r="F48" s="64"/>
      <c r="G48" s="64"/>
    </row>
    <row r="49" spans="1:7" s="1" customFormat="1" ht="15.6" x14ac:dyDescent="0.3">
      <c r="A49" s="63" t="s">
        <v>462</v>
      </c>
      <c r="B49" s="63"/>
      <c r="C49" s="64"/>
      <c r="D49" s="64"/>
      <c r="E49" s="64"/>
      <c r="F49" s="64"/>
      <c r="G49" s="64"/>
    </row>
    <row r="50" spans="1:7" s="1" customFormat="1" ht="15.6" x14ac:dyDescent="0.3">
      <c r="A50" s="65" t="s">
        <v>120</v>
      </c>
      <c r="B50" s="63"/>
      <c r="C50" s="64"/>
      <c r="D50" s="64"/>
      <c r="E50" s="64"/>
      <c r="F50" s="64"/>
      <c r="G50" s="64"/>
    </row>
    <row r="51" spans="1:7" s="1" customFormat="1" ht="15.6" x14ac:dyDescent="0.3">
      <c r="B51" s="63"/>
      <c r="C51" s="64"/>
      <c r="D51" s="64"/>
      <c r="E51" s="64"/>
      <c r="F51" s="64"/>
      <c r="G51" s="64"/>
    </row>
    <row r="52" spans="1:7" s="1" customFormat="1" ht="15.6" x14ac:dyDescent="0.3">
      <c r="A52" s="63" t="str">
        <f>(IF(('School DATA'!D26&gt;0),'School DATA'!D26,""))&amp;"    "&amp;(IF(('School DATA'!D30&gt;0),'School DATA'!D30,""))</f>
        <v xml:space="preserve">JR    </v>
      </c>
      <c r="B52" s="63"/>
      <c r="C52" s="64"/>
      <c r="D52" s="64"/>
      <c r="E52" s="64"/>
      <c r="F52" s="64"/>
      <c r="G52" s="64"/>
    </row>
    <row r="53" spans="1:7" s="1" customFormat="1" ht="15.6" x14ac:dyDescent="0.3">
      <c r="A53" s="63" t="str">
        <f>(IF(('School DATA'!D27&gt;0),'School DATA'!D27,""))&amp;"    "&amp;(IF(('School DATA'!D31&gt;0),'School DATA'!D31,""))</f>
        <v xml:space="preserve">LJ    </v>
      </c>
      <c r="B53" s="63"/>
      <c r="C53" s="64"/>
      <c r="D53" s="64"/>
      <c r="E53" s="64"/>
      <c r="F53" s="64"/>
      <c r="G53" s="64"/>
    </row>
    <row r="54" spans="1:7" s="1" customFormat="1" ht="15.6" x14ac:dyDescent="0.3">
      <c r="A54" s="63" t="str">
        <f>(IF(('School DATA'!D28&gt;0),'School DATA'!D28,""))&amp;"    "&amp;(IF(('School DATA'!D32&gt;0),'School DATA'!D32,""))</f>
        <v xml:space="preserve">AM    </v>
      </c>
      <c r="B54" s="63"/>
      <c r="C54" s="64"/>
      <c r="D54" s="64"/>
      <c r="E54" s="64"/>
      <c r="F54" s="64"/>
      <c r="G54" s="64"/>
    </row>
    <row r="55" spans="1:7" s="1" customFormat="1" ht="15.6" x14ac:dyDescent="0.3">
      <c r="A55" s="63" t="str">
        <f>(IF(('School DATA'!D29&gt;0),'School DATA'!D29,""))&amp;"    "&amp;(IF(('School DATA'!D33&gt;0),'School DATA'!D33,""))</f>
        <v xml:space="preserve">    </v>
      </c>
      <c r="B55" s="63"/>
      <c r="C55" s="64"/>
      <c r="D55" s="64"/>
      <c r="E55" s="64"/>
      <c r="F55" s="64"/>
      <c r="G55" s="64"/>
    </row>
    <row r="56" spans="1:7" s="1" customFormat="1" ht="15.6" x14ac:dyDescent="0.3">
      <c r="A56" s="65"/>
      <c r="B56" s="65"/>
      <c r="C56" s="64"/>
      <c r="D56" s="64"/>
      <c r="E56" s="64"/>
      <c r="F56" s="64"/>
      <c r="G56" s="64"/>
    </row>
    <row r="57" spans="1:7" s="1" customFormat="1" ht="15.6" x14ac:dyDescent="0.3">
      <c r="A57" s="63" t="s">
        <v>121</v>
      </c>
      <c r="B57" s="63"/>
      <c r="C57" s="64"/>
      <c r="D57" s="64"/>
      <c r="E57" s="64"/>
      <c r="F57" s="64"/>
      <c r="G57" s="64"/>
    </row>
    <row r="58" spans="1:7" s="1" customFormat="1" ht="15.6" x14ac:dyDescent="0.3">
      <c r="A58" s="65"/>
      <c r="B58" s="63"/>
      <c r="C58" s="64"/>
      <c r="D58" s="64"/>
      <c r="E58" s="64"/>
      <c r="F58" s="64"/>
      <c r="G58" s="64"/>
    </row>
    <row r="59" spans="1:7" s="1" customFormat="1" ht="15.6" x14ac:dyDescent="0.3">
      <c r="A59" s="65"/>
      <c r="B59" s="63"/>
      <c r="C59" s="64"/>
      <c r="D59" s="64"/>
      <c r="E59" s="64"/>
      <c r="F59" s="64"/>
      <c r="G59" s="64"/>
    </row>
    <row r="60" spans="1:7" ht="15.6" x14ac:dyDescent="0.3">
      <c r="A60" s="65" t="s">
        <v>135</v>
      </c>
      <c r="B60" s="66">
        <f ca="1">TODAY()</f>
        <v>45078</v>
      </c>
      <c r="C60" s="36"/>
      <c r="D60" s="36"/>
      <c r="E60" s="36"/>
      <c r="F60" s="36"/>
      <c r="G60" s="36"/>
    </row>
    <row r="61" spans="1:7" ht="15.6" x14ac:dyDescent="0.3">
      <c r="A61" s="63"/>
      <c r="B61" s="39"/>
      <c r="C61" s="36"/>
      <c r="D61" s="36"/>
      <c r="E61" s="36"/>
      <c r="F61" s="36"/>
      <c r="G61" s="36"/>
    </row>
    <row r="62" spans="1:7" x14ac:dyDescent="0.25">
      <c r="A62" s="39"/>
      <c r="B62" s="39"/>
      <c r="C62" s="36"/>
      <c r="D62" s="36"/>
      <c r="E62" s="36"/>
      <c r="F62" s="36"/>
      <c r="G62" s="36"/>
    </row>
    <row r="63" spans="1:7" x14ac:dyDescent="0.25">
      <c r="A63" s="39"/>
      <c r="B63" s="39"/>
      <c r="C63" s="36"/>
      <c r="D63" s="36"/>
      <c r="E63" s="36"/>
      <c r="F63" s="36"/>
      <c r="G63" s="36"/>
    </row>
    <row r="64" spans="1:7" x14ac:dyDescent="0.25">
      <c r="C64" s="36"/>
      <c r="D64" s="36"/>
      <c r="E64" s="36"/>
      <c r="F64" s="36"/>
      <c r="G64" s="36"/>
    </row>
    <row r="65" spans="3:7" x14ac:dyDescent="0.25">
      <c r="C65" s="36"/>
      <c r="D65" s="36"/>
      <c r="E65" s="36"/>
      <c r="F65" s="36"/>
      <c r="G65" s="36"/>
    </row>
    <row r="66" spans="3:7" x14ac:dyDescent="0.25">
      <c r="C66" s="36"/>
      <c r="D66" s="36"/>
      <c r="E66" s="36"/>
      <c r="F66" s="36"/>
      <c r="G66" s="36"/>
    </row>
  </sheetData>
  <sheetProtection selectLockedCells="1"/>
  <phoneticPr fontId="5" type="noConversion"/>
  <pageMargins left="0.96" right="0.75" top="2.54" bottom="1" header="0.5" footer="0.5"/>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E30"/>
  <sheetViews>
    <sheetView topLeftCell="A9" zoomScale="75" workbookViewId="0">
      <selection activeCell="C7" sqref="C7"/>
    </sheetView>
  </sheetViews>
  <sheetFormatPr defaultColWidth="9.109375" defaultRowHeight="13.2" x14ac:dyDescent="0.25"/>
  <cols>
    <col min="1" max="1" width="81.109375" bestFit="1" customWidth="1"/>
    <col min="2" max="2" width="13.33203125" bestFit="1" customWidth="1"/>
    <col min="3" max="3" width="116.88671875" customWidth="1"/>
    <col min="5" max="5" width="0" hidden="1" customWidth="1"/>
  </cols>
  <sheetData>
    <row r="1" spans="1:5" s="9" customFormat="1" x14ac:dyDescent="0.25">
      <c r="A1" s="140" t="s">
        <v>88</v>
      </c>
      <c r="B1" s="141"/>
      <c r="C1" s="142"/>
      <c r="E1" s="143" t="s">
        <v>101</v>
      </c>
    </row>
    <row r="2" spans="1:5" s="9" customFormat="1" x14ac:dyDescent="0.25">
      <c r="A2" s="144" t="s">
        <v>87</v>
      </c>
      <c r="C2" s="145"/>
      <c r="E2" s="143" t="s">
        <v>4</v>
      </c>
    </row>
    <row r="3" spans="1:5" s="9" customFormat="1" x14ac:dyDescent="0.25">
      <c r="A3" s="144" t="s">
        <v>134</v>
      </c>
      <c r="C3" s="145"/>
      <c r="E3" s="143"/>
    </row>
    <row r="4" spans="1:5" s="9" customFormat="1" x14ac:dyDescent="0.25">
      <c r="A4" s="144"/>
      <c r="C4" s="145"/>
      <c r="E4" s="143" t="s">
        <v>5</v>
      </c>
    </row>
    <row r="5" spans="1:5" s="9" customFormat="1" x14ac:dyDescent="0.25">
      <c r="A5" s="144"/>
      <c r="B5" s="9" t="s">
        <v>89</v>
      </c>
      <c r="C5" s="145" t="s">
        <v>93</v>
      </c>
      <c r="E5" s="143"/>
    </row>
    <row r="6" spans="1:5" s="9" customFormat="1" ht="15.6" x14ac:dyDescent="0.3">
      <c r="A6" s="146" t="s">
        <v>23</v>
      </c>
      <c r="B6" s="9" t="s">
        <v>94</v>
      </c>
      <c r="C6" s="147"/>
    </row>
    <row r="7" spans="1:5" s="9" customFormat="1" ht="15.6" x14ac:dyDescent="0.3">
      <c r="A7" s="148" t="s">
        <v>251</v>
      </c>
      <c r="B7" s="35" t="s">
        <v>58</v>
      </c>
      <c r="C7" s="149" t="str">
        <f t="shared" ref="C7:C12" si="0">IF((B7="n"),"Go back to the Cost of Attendance and enter it or we cannot process your application","")</f>
        <v>Go back to the Cost of Attendance and enter it or we cannot process your application</v>
      </c>
    </row>
    <row r="8" spans="1:5" s="9" customFormat="1" ht="15.6" x14ac:dyDescent="0.3">
      <c r="A8" s="148" t="s">
        <v>252</v>
      </c>
      <c r="B8" s="35" t="s">
        <v>58</v>
      </c>
      <c r="C8" s="149" t="str">
        <f t="shared" si="0"/>
        <v>Go back to the Cost of Attendance and enter it or we cannot process your application</v>
      </c>
    </row>
    <row r="9" spans="1:5" s="9" customFormat="1" ht="15.6" x14ac:dyDescent="0.3">
      <c r="A9" s="148" t="s">
        <v>253</v>
      </c>
      <c r="B9" s="35" t="s">
        <v>58</v>
      </c>
      <c r="C9" s="149" t="str">
        <f t="shared" si="0"/>
        <v>Go back to the Cost of Attendance and enter it or we cannot process your application</v>
      </c>
    </row>
    <row r="10" spans="1:5" ht="15.6" x14ac:dyDescent="0.3">
      <c r="A10" s="148" t="s">
        <v>254</v>
      </c>
      <c r="B10" s="35" t="s">
        <v>58</v>
      </c>
      <c r="C10" s="149" t="str">
        <f t="shared" si="0"/>
        <v>Go back to the Cost of Attendance and enter it or we cannot process your application</v>
      </c>
    </row>
    <row r="11" spans="1:5" ht="15.6" x14ac:dyDescent="0.3">
      <c r="A11" s="148" t="s">
        <v>255</v>
      </c>
      <c r="B11" s="35" t="s">
        <v>58</v>
      </c>
      <c r="C11" s="149" t="str">
        <f t="shared" si="0"/>
        <v>Go back to the Cost of Attendance and enter it or we cannot process your application</v>
      </c>
    </row>
    <row r="12" spans="1:5" ht="15.6" x14ac:dyDescent="0.3">
      <c r="A12" s="148" t="s">
        <v>250</v>
      </c>
      <c r="B12" s="35" t="s">
        <v>58</v>
      </c>
      <c r="C12" s="149" t="str">
        <f t="shared" si="0"/>
        <v>Go back to the Cost of Attendance and enter it or we cannot process your application</v>
      </c>
    </row>
    <row r="13" spans="1:5" x14ac:dyDescent="0.25">
      <c r="B13" s="83"/>
    </row>
    <row r="14" spans="1:5" x14ac:dyDescent="0.25">
      <c r="B14" s="150"/>
      <c r="C14" s="151"/>
    </row>
    <row r="15" spans="1:5" ht="15.6" x14ac:dyDescent="0.3">
      <c r="A15" s="152" t="s">
        <v>97</v>
      </c>
      <c r="B15" s="150"/>
      <c r="C15" s="149"/>
    </row>
    <row r="16" spans="1:5" x14ac:dyDescent="0.25">
      <c r="A16" s="148" t="s">
        <v>141</v>
      </c>
      <c r="B16" s="35" t="s">
        <v>58</v>
      </c>
    </row>
    <row r="17" spans="1:3" ht="15.6" x14ac:dyDescent="0.3">
      <c r="A17" s="148" t="str">
        <f>IF((B16="N"),"Have you signed up for selective service","")</f>
        <v>Have you signed up for selective service</v>
      </c>
      <c r="B17" s="35" t="s">
        <v>58</v>
      </c>
      <c r="C17" s="149"/>
    </row>
    <row r="18" spans="1:3" ht="15.6" x14ac:dyDescent="0.3">
      <c r="A18" s="148" t="str">
        <f>IF((B17="N"),"Have you attached proof you are exempt from selective service","")</f>
        <v>Have you attached proof you are exempt from selective service</v>
      </c>
      <c r="B18" s="35" t="s">
        <v>58</v>
      </c>
      <c r="C18" s="149" t="str">
        <f>IF(((B18="n")*AND(B17="n")),"Application Rejected","")</f>
        <v>Application Rejected</v>
      </c>
    </row>
    <row r="19" spans="1:3" ht="15.6" x14ac:dyDescent="0.3">
      <c r="A19" s="148"/>
      <c r="B19" s="150"/>
      <c r="C19" s="149"/>
    </row>
    <row r="20" spans="1:3" ht="15.6" x14ac:dyDescent="0.3">
      <c r="A20" s="152" t="s">
        <v>98</v>
      </c>
      <c r="B20" s="150"/>
      <c r="C20" s="149"/>
    </row>
    <row r="21" spans="1:3" ht="15.6" x14ac:dyDescent="0.3">
      <c r="A21" s="148" t="s">
        <v>95</v>
      </c>
      <c r="B21" s="35" t="s">
        <v>58</v>
      </c>
      <c r="C21" s="149" t="str">
        <f>IF((B21="n"),"Application Rejected","")</f>
        <v>Application Rejected</v>
      </c>
    </row>
    <row r="22" spans="1:3" ht="15.6" x14ac:dyDescent="0.3">
      <c r="A22" s="148" t="s">
        <v>96</v>
      </c>
      <c r="B22" s="35" t="s">
        <v>58</v>
      </c>
      <c r="C22" s="149"/>
    </row>
    <row r="23" spans="1:3" ht="15.6" x14ac:dyDescent="0.3">
      <c r="A23" s="148" t="str">
        <f>IF((B22="Y"),"Have you attached your PLUS MPN","")</f>
        <v/>
      </c>
      <c r="B23" s="35" t="s">
        <v>58</v>
      </c>
      <c r="C23" s="149" t="str">
        <f>IF(((B23="n")*AND(B22="y")),"Application Rejected","")</f>
        <v/>
      </c>
    </row>
    <row r="24" spans="1:3" ht="15.6" x14ac:dyDescent="0.3">
      <c r="A24" s="148" t="str">
        <f>IF((B22="Y"),"Have you attached your Credit Check result email or screenshot","")</f>
        <v/>
      </c>
      <c r="B24" s="35" t="s">
        <v>58</v>
      </c>
      <c r="C24" s="149" t="str">
        <f>IF(((B24="n")*AND(B22="y")),"Application Rejected","")</f>
        <v/>
      </c>
    </row>
    <row r="25" spans="1:3" ht="15.6" x14ac:dyDescent="0.3">
      <c r="A25" s="148"/>
      <c r="B25" s="150"/>
      <c r="C25" s="149"/>
    </row>
    <row r="26" spans="1:3" ht="15.6" x14ac:dyDescent="0.3">
      <c r="A26" s="152" t="s">
        <v>99</v>
      </c>
      <c r="B26" s="150"/>
      <c r="C26" s="149"/>
    </row>
    <row r="27" spans="1:3" ht="15.6" x14ac:dyDescent="0.3">
      <c r="A27" s="148" t="s">
        <v>100</v>
      </c>
      <c r="B27" s="35" t="s">
        <v>58</v>
      </c>
      <c r="C27" s="149" t="str">
        <f>IF((B27="n"),"Application Rejected","")</f>
        <v>Application Rejected</v>
      </c>
    </row>
    <row r="28" spans="1:3" ht="15.6" x14ac:dyDescent="0.3">
      <c r="A28" s="148"/>
      <c r="B28" s="150"/>
      <c r="C28" s="149" t="str">
        <f>IF((B28="n"),"Application Rejected","")</f>
        <v/>
      </c>
    </row>
    <row r="29" spans="1:3" s="156" customFormat="1" ht="16.2" thickBot="1" x14ac:dyDescent="0.35">
      <c r="A29" s="153" t="s">
        <v>136</v>
      </c>
      <c r="B29" s="154"/>
      <c r="C29" s="155"/>
    </row>
    <row r="30" spans="1:3" ht="15.6" x14ac:dyDescent="0.3">
      <c r="C30" s="156"/>
    </row>
  </sheetData>
  <sheetProtection selectLockedCells="1"/>
  <phoneticPr fontId="5" type="noConversion"/>
  <dataValidations count="1">
    <dataValidation type="list" allowBlank="1" showInputMessage="1" showErrorMessage="1" sqref="B16:B18 B7:B12 B21:B24 B27" xr:uid="{00000000-0002-0000-0400-000000000000}">
      <formula1>$E$2:$E$5</formula1>
    </dataValidation>
  </dataValidations>
  <pageMargins left="0.75" right="0.75" top="1" bottom="1" header="0.5" footer="0.5"/>
  <pageSetup paperSize="9" scale="4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32"/>
  <sheetViews>
    <sheetView workbookViewId="0">
      <selection activeCell="B18" sqref="B18"/>
    </sheetView>
  </sheetViews>
  <sheetFormatPr defaultRowHeight="13.2" x14ac:dyDescent="0.25"/>
  <cols>
    <col min="1" max="1" width="24.109375" style="76" customWidth="1"/>
    <col min="2" max="2" width="100.109375" style="71" customWidth="1"/>
  </cols>
  <sheetData>
    <row r="1" spans="1:2" s="74" customFormat="1" ht="17.399999999999999" x14ac:dyDescent="0.3">
      <c r="A1" s="75" t="s">
        <v>155</v>
      </c>
      <c r="B1" s="73"/>
    </row>
    <row r="2" spans="1:2" ht="17.399999999999999" x14ac:dyDescent="0.25">
      <c r="A2" s="75"/>
    </row>
    <row r="3" spans="1:2" ht="52.8" x14ac:dyDescent="0.25">
      <c r="A3" s="76" t="s">
        <v>148</v>
      </c>
      <c r="B3" s="71" t="s">
        <v>344</v>
      </c>
    </row>
    <row r="5" spans="1:2" ht="39.6" x14ac:dyDescent="0.25">
      <c r="A5" s="77" t="s">
        <v>1</v>
      </c>
      <c r="B5" s="71" t="s">
        <v>304</v>
      </c>
    </row>
    <row r="7" spans="1:2" ht="39.6" x14ac:dyDescent="0.25">
      <c r="A7" s="77" t="s">
        <v>7</v>
      </c>
      <c r="B7" s="71" t="s">
        <v>358</v>
      </c>
    </row>
    <row r="9" spans="1:2" x14ac:dyDescent="0.25">
      <c r="A9" s="77" t="s">
        <v>3</v>
      </c>
      <c r="B9" s="71" t="s">
        <v>149</v>
      </c>
    </row>
    <row r="11" spans="1:2" x14ac:dyDescent="0.25">
      <c r="A11" s="77" t="s">
        <v>30</v>
      </c>
      <c r="B11" s="71" t="s">
        <v>359</v>
      </c>
    </row>
    <row r="13" spans="1:2" x14ac:dyDescent="0.25">
      <c r="A13" s="77" t="s">
        <v>2</v>
      </c>
      <c r="B13" s="71" t="s">
        <v>305</v>
      </c>
    </row>
    <row r="15" spans="1:2" x14ac:dyDescent="0.25">
      <c r="A15" s="76" t="s">
        <v>150</v>
      </c>
      <c r="B15" s="71" t="s">
        <v>360</v>
      </c>
    </row>
    <row r="17" spans="1:2" x14ac:dyDescent="0.25">
      <c r="A17" s="76" t="s">
        <v>151</v>
      </c>
      <c r="B17" s="71" t="s">
        <v>361</v>
      </c>
    </row>
    <row r="19" spans="1:2" x14ac:dyDescent="0.25">
      <c r="A19" s="76" t="s">
        <v>152</v>
      </c>
      <c r="B19" s="71" t="s">
        <v>314</v>
      </c>
    </row>
    <row r="21" spans="1:2" ht="52.8" x14ac:dyDescent="0.25">
      <c r="A21" s="76" t="s">
        <v>153</v>
      </c>
      <c r="B21" s="71" t="s">
        <v>172</v>
      </c>
    </row>
    <row r="23" spans="1:2" x14ac:dyDescent="0.25">
      <c r="A23" s="76" t="s">
        <v>188</v>
      </c>
      <c r="B23" s="71" t="s">
        <v>189</v>
      </c>
    </row>
    <row r="24" spans="1:2" x14ac:dyDescent="0.25">
      <c r="B24" s="71" t="s">
        <v>345</v>
      </c>
    </row>
    <row r="25" spans="1:2" x14ac:dyDescent="0.25">
      <c r="B25" s="71" t="s">
        <v>190</v>
      </c>
    </row>
    <row r="27" spans="1:2" x14ac:dyDescent="0.25">
      <c r="A27" s="76" t="s">
        <v>156</v>
      </c>
      <c r="B27" s="71" t="s">
        <v>157</v>
      </c>
    </row>
    <row r="28" spans="1:2" x14ac:dyDescent="0.25">
      <c r="B28" s="71" t="s">
        <v>312</v>
      </c>
    </row>
    <row r="29" spans="1:2" x14ac:dyDescent="0.25">
      <c r="B29" s="71" t="s">
        <v>346</v>
      </c>
    </row>
    <row r="31" spans="1:2" x14ac:dyDescent="0.25">
      <c r="A31" s="76" t="s">
        <v>158</v>
      </c>
      <c r="B31" s="71" t="s">
        <v>347</v>
      </c>
    </row>
    <row r="32" spans="1:2" x14ac:dyDescent="0.25">
      <c r="B32" s="72" t="s">
        <v>159</v>
      </c>
    </row>
  </sheetData>
  <sheetProtection selectLockedCells="1"/>
  <phoneticPr fontId="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8"/>
  <sheetViews>
    <sheetView topLeftCell="A24" zoomScale="75" workbookViewId="0">
      <selection activeCell="B48" sqref="B48"/>
    </sheetView>
  </sheetViews>
  <sheetFormatPr defaultRowHeight="13.2" x14ac:dyDescent="0.25"/>
  <cols>
    <col min="1" max="1" width="29.33203125" customWidth="1"/>
    <col min="2" max="2" width="61.6640625" customWidth="1"/>
  </cols>
  <sheetData>
    <row r="1" spans="1:7" ht="15.6" x14ac:dyDescent="0.3">
      <c r="A1" s="61" t="str">
        <f>'Cost of Attendance'!C15&amp;" "&amp;'Cost of Attendance'!C14</f>
        <v>forename - first name(s) surname - family name</v>
      </c>
      <c r="B1" s="36"/>
      <c r="C1" s="36"/>
      <c r="D1" s="36"/>
      <c r="E1" s="36"/>
      <c r="F1" s="36"/>
      <c r="G1" s="36"/>
    </row>
    <row r="2" spans="1:7" ht="15.6" x14ac:dyDescent="0.3">
      <c r="A2" s="62" t="str">
        <f>'Cost of Attendance'!C16</f>
        <v>line 1</v>
      </c>
      <c r="B2" s="36"/>
      <c r="C2" s="36"/>
      <c r="D2" s="36"/>
      <c r="E2" s="36"/>
      <c r="F2" s="36"/>
      <c r="G2" s="36"/>
    </row>
    <row r="3" spans="1:7" ht="15.6" x14ac:dyDescent="0.3">
      <c r="A3" s="62" t="str">
        <f>'Cost of Attendance'!C17</f>
        <v>line 2</v>
      </c>
      <c r="B3" s="36"/>
      <c r="C3" s="36"/>
      <c r="D3" s="36"/>
      <c r="E3" s="36"/>
      <c r="F3" s="36"/>
      <c r="G3" s="36"/>
    </row>
    <row r="4" spans="1:7" ht="15.6" x14ac:dyDescent="0.3">
      <c r="A4" s="62" t="str">
        <f>'Cost of Attendance'!C18</f>
        <v>line 3</v>
      </c>
      <c r="B4" s="36"/>
      <c r="C4" s="36"/>
      <c r="D4" s="36"/>
      <c r="E4" s="36"/>
      <c r="F4" s="36"/>
      <c r="G4" s="36"/>
    </row>
    <row r="5" spans="1:7" ht="15.6" x14ac:dyDescent="0.3">
      <c r="A5" s="62" t="str">
        <f>'Cost of Attendance'!C19</f>
        <v>line 4</v>
      </c>
      <c r="B5" s="36"/>
      <c r="C5" s="36"/>
      <c r="D5" s="36"/>
      <c r="E5" s="36"/>
      <c r="F5" s="36"/>
      <c r="G5" s="36"/>
    </row>
    <row r="6" spans="1:7" ht="15.6" x14ac:dyDescent="0.3">
      <c r="A6" s="62" t="str">
        <f>'Cost of Attendance'!C20</f>
        <v>postcode/zipcode</v>
      </c>
      <c r="B6" s="36"/>
      <c r="C6" s="36"/>
      <c r="D6" s="36"/>
      <c r="E6" s="36"/>
      <c r="F6" s="36"/>
      <c r="G6" s="36"/>
    </row>
    <row r="7" spans="1:7" x14ac:dyDescent="0.25">
      <c r="A7" s="60"/>
      <c r="B7" s="36"/>
      <c r="C7" s="36"/>
      <c r="D7" s="36"/>
      <c r="E7" s="36"/>
      <c r="F7" s="36"/>
      <c r="G7" s="36"/>
    </row>
    <row r="8" spans="1:7" x14ac:dyDescent="0.25">
      <c r="A8" s="37"/>
      <c r="B8" s="36"/>
      <c r="C8" s="36"/>
      <c r="D8" s="36"/>
      <c r="E8" s="36"/>
      <c r="F8" s="36"/>
      <c r="G8" s="36"/>
    </row>
    <row r="9" spans="1:7" x14ac:dyDescent="0.25">
      <c r="B9" s="36"/>
      <c r="C9" s="36"/>
      <c r="D9" s="36"/>
      <c r="E9" s="36"/>
      <c r="F9" s="36"/>
      <c r="G9" s="36"/>
    </row>
    <row r="10" spans="1:7" x14ac:dyDescent="0.25">
      <c r="A10" s="39"/>
      <c r="B10" s="36"/>
      <c r="C10" s="36"/>
      <c r="D10" s="36"/>
      <c r="E10" s="36"/>
      <c r="F10" s="36"/>
      <c r="G10" s="36"/>
    </row>
    <row r="11" spans="1:7" ht="22.8" x14ac:dyDescent="0.4">
      <c r="A11" s="38" t="s">
        <v>102</v>
      </c>
      <c r="B11" s="36"/>
      <c r="C11" s="36"/>
      <c r="D11" s="36"/>
      <c r="E11" s="36"/>
      <c r="F11" s="36"/>
      <c r="G11" s="36"/>
    </row>
    <row r="12" spans="1:7" ht="22.8" x14ac:dyDescent="0.4">
      <c r="A12" s="67" t="str">
        <f>'Cost of Attendance'!C4</f>
        <v>for Academic Year 2023/24</v>
      </c>
      <c r="B12" s="36"/>
      <c r="C12" s="36"/>
      <c r="D12" s="36"/>
      <c r="E12" s="36"/>
      <c r="F12" s="36"/>
      <c r="G12" s="36"/>
    </row>
    <row r="13" spans="1:7" x14ac:dyDescent="0.25">
      <c r="A13" s="36"/>
      <c r="B13" s="36"/>
      <c r="C13" s="36"/>
      <c r="D13" s="36"/>
      <c r="E13" s="36"/>
      <c r="F13" s="36"/>
      <c r="G13" s="36"/>
    </row>
    <row r="14" spans="1:7" x14ac:dyDescent="0.25">
      <c r="A14" s="36"/>
      <c r="B14" s="36"/>
      <c r="C14" s="36"/>
      <c r="D14" s="36"/>
      <c r="E14" s="36"/>
      <c r="F14" s="36"/>
      <c r="G14" s="36"/>
    </row>
    <row r="15" spans="1:7" ht="18" x14ac:dyDescent="0.35">
      <c r="A15" s="40" t="s">
        <v>103</v>
      </c>
      <c r="B15" s="36"/>
      <c r="C15" s="36"/>
      <c r="D15" s="36"/>
      <c r="E15" s="36"/>
      <c r="F15" s="36"/>
      <c r="G15" s="36"/>
    </row>
    <row r="16" spans="1:7" x14ac:dyDescent="0.25">
      <c r="A16" s="36"/>
      <c r="B16" s="36"/>
      <c r="C16" s="36"/>
      <c r="D16" s="36"/>
      <c r="E16" s="36"/>
      <c r="F16" s="36"/>
      <c r="G16" s="36"/>
    </row>
    <row r="17" spans="1:7" s="44" customFormat="1" ht="15.6" x14ac:dyDescent="0.3">
      <c r="A17" s="41" t="s">
        <v>104</v>
      </c>
      <c r="B17" s="57" t="str">
        <f>'Cost of Attendance'!C15&amp;" "&amp;'Cost of Attendance'!C14</f>
        <v>forename - first name(s) surname - family name</v>
      </c>
      <c r="C17" s="43"/>
      <c r="D17" s="43"/>
      <c r="E17" s="43"/>
      <c r="F17" s="43"/>
      <c r="G17" s="43"/>
    </row>
    <row r="18" spans="1:7" s="44" customFormat="1" ht="15.6" x14ac:dyDescent="0.3">
      <c r="A18" s="41" t="s">
        <v>105</v>
      </c>
      <c r="B18" s="45">
        <f>'Cost of Attendance'!C22</f>
        <v>0</v>
      </c>
      <c r="C18" s="43"/>
      <c r="D18" s="43"/>
      <c r="E18" s="43"/>
      <c r="F18" s="43"/>
      <c r="G18" s="43"/>
    </row>
    <row r="19" spans="1:7" s="44" customFormat="1" ht="15.6" x14ac:dyDescent="0.3">
      <c r="A19" s="41" t="s">
        <v>106</v>
      </c>
      <c r="B19" s="42" t="str">
        <f>'Cost of Attendance'!C24</f>
        <v>201700000</v>
      </c>
      <c r="C19" s="43"/>
      <c r="D19" s="43"/>
      <c r="E19" s="43"/>
      <c r="F19" s="43"/>
      <c r="G19" s="43"/>
    </row>
    <row r="20" spans="1:7" x14ac:dyDescent="0.25">
      <c r="A20" s="36"/>
      <c r="B20" s="36"/>
      <c r="C20" s="36"/>
      <c r="D20" s="36"/>
      <c r="E20" s="36"/>
      <c r="F20" s="36"/>
      <c r="G20" s="36"/>
    </row>
    <row r="21" spans="1:7" s="1" customFormat="1" ht="15.6" x14ac:dyDescent="0.3">
      <c r="A21" s="63" t="s">
        <v>107</v>
      </c>
      <c r="B21" s="64"/>
      <c r="C21" s="64"/>
      <c r="D21" s="64"/>
      <c r="E21" s="64"/>
      <c r="F21" s="64"/>
      <c r="G21" s="64"/>
    </row>
    <row r="22" spans="1:7" s="1" customFormat="1" ht="15.6" x14ac:dyDescent="0.3">
      <c r="A22" s="63"/>
      <c r="B22" s="64"/>
      <c r="C22" s="64"/>
      <c r="D22" s="64"/>
      <c r="E22" s="64"/>
      <c r="F22" s="64"/>
      <c r="G22" s="64"/>
    </row>
    <row r="23" spans="1:7" s="1" customFormat="1" ht="15.6" x14ac:dyDescent="0.3">
      <c r="A23" s="63" t="s">
        <v>192</v>
      </c>
      <c r="B23" s="64"/>
      <c r="C23" s="64"/>
      <c r="D23" s="64"/>
      <c r="E23" s="64"/>
      <c r="F23" s="64"/>
      <c r="G23" s="64"/>
    </row>
    <row r="24" spans="1:7" s="1" customFormat="1" ht="15.6" x14ac:dyDescent="0.3">
      <c r="A24" s="63" t="s">
        <v>303</v>
      </c>
      <c r="B24" s="64"/>
      <c r="C24" s="64"/>
      <c r="D24" s="64"/>
      <c r="E24" s="64"/>
      <c r="F24" s="64"/>
      <c r="G24" s="64"/>
    </row>
    <row r="25" spans="1:7" s="1" customFormat="1" ht="15" x14ac:dyDescent="0.25">
      <c r="A25" s="64"/>
      <c r="B25" s="64"/>
      <c r="C25" s="64"/>
      <c r="D25" s="64"/>
      <c r="E25" s="64"/>
      <c r="F25" s="64"/>
      <c r="G25" s="64"/>
    </row>
    <row r="26" spans="1:7" s="1" customFormat="1" ht="15.6" x14ac:dyDescent="0.3">
      <c r="A26" s="63" t="s">
        <v>193</v>
      </c>
      <c r="B26" s="64"/>
      <c r="C26" s="64"/>
      <c r="D26" s="64"/>
      <c r="E26" s="64"/>
      <c r="F26" s="64"/>
      <c r="G26" s="64"/>
    </row>
    <row r="27" spans="1:7" s="55" customFormat="1" ht="15.6" x14ac:dyDescent="0.3">
      <c r="A27" s="46" t="s">
        <v>112</v>
      </c>
      <c r="B27" s="47">
        <f>IF(('Cost of Attendance'!D34="n"),'Cost of Attendance'!J15,'Cost of Attendance'!J13)</f>
        <v>45194</v>
      </c>
      <c r="C27" s="54"/>
      <c r="D27" s="54"/>
      <c r="E27" s="54"/>
      <c r="F27" s="54"/>
      <c r="G27" s="54"/>
    </row>
    <row r="28" spans="1:7" s="55" customFormat="1" ht="15.6" x14ac:dyDescent="0.3">
      <c r="A28" s="46" t="s">
        <v>113</v>
      </c>
      <c r="B28" s="47">
        <f>IF(('Cost of Attendance'!D34="n"),'Cost of Attendance'!J16,'Cost of Attendance'!J14)</f>
        <v>45504</v>
      </c>
      <c r="C28" s="54"/>
      <c r="D28" s="54"/>
      <c r="E28" s="54"/>
      <c r="F28" s="54"/>
      <c r="G28" s="54"/>
    </row>
    <row r="29" spans="1:7" x14ac:dyDescent="0.25">
      <c r="A29" s="36"/>
      <c r="B29" s="36"/>
      <c r="C29" s="36"/>
      <c r="D29" s="36"/>
      <c r="E29" s="36"/>
      <c r="F29" s="36"/>
      <c r="G29" s="36"/>
    </row>
    <row r="30" spans="1:7" ht="15.6" x14ac:dyDescent="0.3">
      <c r="A30" s="63" t="s">
        <v>302</v>
      </c>
      <c r="B30" s="36"/>
      <c r="C30" s="36"/>
      <c r="D30" s="36"/>
      <c r="E30" s="36"/>
      <c r="F30" s="36"/>
      <c r="G30" s="36"/>
    </row>
    <row r="31" spans="1:7" s="44" customFormat="1" ht="16.2" thickBot="1" x14ac:dyDescent="0.35">
      <c r="A31" s="51" t="s">
        <v>194</v>
      </c>
      <c r="B31" s="50">
        <f>'Cost of Attendance'!E85</f>
        <v>26910</v>
      </c>
      <c r="C31" s="43"/>
      <c r="D31" s="43"/>
      <c r="E31" s="43"/>
      <c r="F31" s="43"/>
      <c r="G31" s="43"/>
    </row>
    <row r="32" spans="1:7" ht="13.8" thickTop="1" x14ac:dyDescent="0.25">
      <c r="A32" s="36"/>
      <c r="B32" s="36"/>
      <c r="C32" s="36"/>
      <c r="D32" s="36"/>
      <c r="E32" s="36"/>
      <c r="F32" s="36"/>
      <c r="G32" s="36"/>
    </row>
    <row r="33" spans="1:7" ht="15.6" x14ac:dyDescent="0.3">
      <c r="A33" s="63" t="s">
        <v>118</v>
      </c>
      <c r="B33" s="36"/>
      <c r="C33" s="36"/>
      <c r="D33" s="36"/>
      <c r="E33" s="36"/>
      <c r="F33" s="36"/>
      <c r="G33" s="36"/>
    </row>
    <row r="34" spans="1:7" s="49" customFormat="1" ht="15.6" x14ac:dyDescent="0.3">
      <c r="A34" s="47">
        <f>'Cost of Attendance'!M13</f>
        <v>45194</v>
      </c>
      <c r="B34" s="52">
        <f>B31</f>
        <v>26910</v>
      </c>
      <c r="C34" s="48"/>
      <c r="D34" s="48"/>
      <c r="E34" s="48"/>
      <c r="F34" s="48"/>
      <c r="G34" s="48"/>
    </row>
    <row r="35" spans="1:7" s="49" customFormat="1" ht="15.6" x14ac:dyDescent="0.3">
      <c r="A35" s="47"/>
      <c r="B35" s="52"/>
      <c r="C35" s="48"/>
      <c r="D35" s="48"/>
      <c r="E35" s="48"/>
      <c r="F35" s="48"/>
      <c r="G35" s="48"/>
    </row>
    <row r="36" spans="1:7" s="49" customFormat="1" ht="15.6" x14ac:dyDescent="0.3">
      <c r="A36" s="47"/>
      <c r="B36" s="52"/>
      <c r="C36" s="48"/>
      <c r="D36" s="48"/>
      <c r="E36" s="48"/>
      <c r="F36" s="48"/>
      <c r="G36" s="48"/>
    </row>
    <row r="37" spans="1:7" s="49" customFormat="1" ht="15.6" x14ac:dyDescent="0.3">
      <c r="A37" s="47"/>
      <c r="B37" s="52"/>
      <c r="C37" s="48"/>
      <c r="D37" s="48"/>
      <c r="E37" s="48"/>
      <c r="F37" s="48"/>
      <c r="G37" s="48"/>
    </row>
    <row r="38" spans="1:7" s="49" customFormat="1" ht="16.2" thickBot="1" x14ac:dyDescent="0.35">
      <c r="A38" s="53" t="s">
        <v>77</v>
      </c>
      <c r="B38" s="52">
        <f>SUM(B34:B37)</f>
        <v>26910</v>
      </c>
      <c r="C38" s="48"/>
      <c r="D38" s="48"/>
      <c r="E38" s="48"/>
      <c r="F38" s="48"/>
      <c r="G38" s="48"/>
    </row>
    <row r="39" spans="1:7" ht="13.8" thickTop="1" x14ac:dyDescent="0.25">
      <c r="A39" s="36"/>
      <c r="B39" s="36"/>
      <c r="C39" s="36"/>
      <c r="D39" s="36"/>
      <c r="E39" s="36"/>
      <c r="F39" s="36"/>
      <c r="G39" s="36"/>
    </row>
    <row r="40" spans="1:7" s="1" customFormat="1" ht="15.6" x14ac:dyDescent="0.3">
      <c r="A40" s="63" t="s">
        <v>119</v>
      </c>
      <c r="B40" s="64"/>
      <c r="C40" s="64"/>
      <c r="D40" s="64"/>
      <c r="E40" s="64"/>
      <c r="F40" s="64"/>
      <c r="G40" s="64"/>
    </row>
    <row r="41" spans="1:7" s="1" customFormat="1" ht="15.6" x14ac:dyDescent="0.3">
      <c r="A41" s="63" t="s">
        <v>462</v>
      </c>
      <c r="B41" s="64"/>
      <c r="C41" s="64"/>
      <c r="D41" s="64"/>
      <c r="E41" s="64"/>
      <c r="F41" s="64"/>
      <c r="G41" s="64"/>
    </row>
    <row r="42" spans="1:7" s="1" customFormat="1" ht="15.6" x14ac:dyDescent="0.3">
      <c r="A42" s="65" t="s">
        <v>120</v>
      </c>
      <c r="B42" s="64"/>
      <c r="C42" s="64"/>
      <c r="D42" s="64"/>
      <c r="E42" s="64"/>
      <c r="F42" s="64"/>
      <c r="G42" s="64"/>
    </row>
    <row r="43" spans="1:7" s="1" customFormat="1" ht="15" x14ac:dyDescent="0.25">
      <c r="B43" s="64"/>
      <c r="C43" s="64"/>
      <c r="D43" s="64"/>
      <c r="E43" s="64"/>
      <c r="F43" s="64"/>
      <c r="G43" s="64"/>
    </row>
    <row r="44" spans="1:7" s="1" customFormat="1" ht="15.6" x14ac:dyDescent="0.3">
      <c r="A44" s="63" t="str">
        <f>(IF(('School DATA'!D26&gt;0),'School DATA'!D26,""))&amp;"    "&amp;(IF(('School DATA'!D30&gt;0),'School DATA'!D30,""))</f>
        <v xml:space="preserve">JR    </v>
      </c>
      <c r="B44" s="63"/>
      <c r="C44" s="64"/>
      <c r="D44" s="64"/>
      <c r="E44" s="64"/>
      <c r="F44" s="64"/>
      <c r="G44" s="64"/>
    </row>
    <row r="45" spans="1:7" s="1" customFormat="1" ht="15.6" x14ac:dyDescent="0.3">
      <c r="A45" s="63" t="str">
        <f>(IF(('School DATA'!D27&gt;0),'School DATA'!D27,""))&amp;"    "&amp;(IF(('School DATA'!D31&gt;0),'School DATA'!D31,""))</f>
        <v xml:space="preserve">LJ    </v>
      </c>
      <c r="B45" s="63"/>
      <c r="C45" s="64"/>
      <c r="D45" s="64"/>
      <c r="E45" s="64"/>
      <c r="F45" s="64"/>
      <c r="G45" s="64"/>
    </row>
    <row r="46" spans="1:7" s="1" customFormat="1" ht="15.6" x14ac:dyDescent="0.3">
      <c r="A46" s="63" t="str">
        <f>(IF(('School DATA'!D28&gt;0),'School DATA'!D28,""))&amp;"    "&amp;(IF(('School DATA'!D32&gt;0),'School DATA'!D32,""))</f>
        <v xml:space="preserve">AM    </v>
      </c>
      <c r="B46" s="63"/>
      <c r="C46" s="64"/>
      <c r="D46" s="64"/>
      <c r="E46" s="64"/>
      <c r="F46" s="64"/>
      <c r="G46" s="64"/>
    </row>
    <row r="47" spans="1:7" s="1" customFormat="1" ht="15.6" x14ac:dyDescent="0.3">
      <c r="A47" s="63" t="str">
        <f>(IF(('School DATA'!D29&gt;0),'School DATA'!D29,""))&amp;"    "&amp;(IF(('School DATA'!D33&gt;0),'School DATA'!D33,""))</f>
        <v xml:space="preserve">    </v>
      </c>
      <c r="B47" s="63"/>
      <c r="C47" s="64"/>
      <c r="D47" s="64"/>
      <c r="E47" s="64"/>
      <c r="F47" s="64"/>
      <c r="G47" s="64"/>
    </row>
    <row r="48" spans="1:7" s="1" customFormat="1" ht="15" x14ac:dyDescent="0.25">
      <c r="C48" s="64"/>
      <c r="D48" s="64"/>
      <c r="E48" s="64"/>
      <c r="F48" s="64"/>
      <c r="G48" s="64"/>
    </row>
    <row r="49" spans="1:7" s="1" customFormat="1" ht="15.6" x14ac:dyDescent="0.3">
      <c r="A49" s="63" t="s">
        <v>121</v>
      </c>
      <c r="B49" s="64"/>
      <c r="C49" s="64"/>
      <c r="D49" s="64"/>
      <c r="E49" s="64"/>
      <c r="F49" s="64"/>
      <c r="G49" s="64"/>
    </row>
    <row r="50" spans="1:7" s="1" customFormat="1" ht="15" x14ac:dyDescent="0.25">
      <c r="B50" s="64"/>
      <c r="C50" s="64"/>
      <c r="D50" s="64"/>
      <c r="E50" s="64"/>
      <c r="F50" s="64"/>
      <c r="G50" s="64"/>
    </row>
    <row r="51" spans="1:7" s="1" customFormat="1" ht="15" x14ac:dyDescent="0.25">
      <c r="B51" s="64"/>
      <c r="C51" s="64"/>
      <c r="D51" s="64"/>
      <c r="E51" s="64"/>
      <c r="F51" s="64"/>
      <c r="G51" s="64"/>
    </row>
    <row r="52" spans="1:7" ht="15.6" x14ac:dyDescent="0.3">
      <c r="A52" s="65" t="s">
        <v>135</v>
      </c>
      <c r="B52" s="66">
        <f ca="1">TODAY()</f>
        <v>45078</v>
      </c>
      <c r="C52" s="36"/>
      <c r="D52" s="36"/>
      <c r="E52" s="36"/>
      <c r="F52" s="36"/>
      <c r="G52" s="36"/>
    </row>
    <row r="53" spans="1:7" ht="15.6" x14ac:dyDescent="0.3">
      <c r="A53" s="63"/>
      <c r="B53" s="36"/>
      <c r="C53" s="36"/>
      <c r="D53" s="36"/>
      <c r="E53" s="36"/>
      <c r="F53" s="36"/>
      <c r="G53" s="36"/>
    </row>
    <row r="54" spans="1:7" ht="15.6" x14ac:dyDescent="0.3">
      <c r="A54" s="63"/>
      <c r="B54" s="36"/>
      <c r="C54" s="36"/>
      <c r="D54" s="36"/>
      <c r="E54" s="36"/>
      <c r="F54" s="36"/>
      <c r="G54" s="36"/>
    </row>
    <row r="55" spans="1:7" ht="15.6" x14ac:dyDescent="0.3">
      <c r="A55" s="63"/>
      <c r="B55" s="36"/>
      <c r="C55" s="36"/>
      <c r="D55" s="36"/>
      <c r="E55" s="36"/>
      <c r="F55" s="36"/>
      <c r="G55" s="36"/>
    </row>
    <row r="56" spans="1:7" ht="15.6" x14ac:dyDescent="0.3">
      <c r="A56" s="63"/>
      <c r="B56" s="36"/>
      <c r="C56" s="36"/>
      <c r="D56" s="36"/>
      <c r="E56" s="36"/>
      <c r="F56" s="36"/>
      <c r="G56" s="36"/>
    </row>
    <row r="57" spans="1:7" ht="15.6" x14ac:dyDescent="0.3">
      <c r="A57" s="63"/>
      <c r="B57" s="36"/>
      <c r="C57" s="36"/>
      <c r="D57" s="36"/>
      <c r="E57" s="36"/>
      <c r="F57" s="36"/>
      <c r="G57" s="36"/>
    </row>
    <row r="58" spans="1:7" x14ac:dyDescent="0.25">
      <c r="A58" s="36"/>
      <c r="B58" s="36"/>
      <c r="C58" s="36"/>
      <c r="D58" s="36"/>
      <c r="E58" s="36"/>
      <c r="F58" s="36"/>
      <c r="G58" s="36"/>
    </row>
  </sheetData>
  <sheetProtection selectLockedCells="1"/>
  <phoneticPr fontId="5" type="noConversion"/>
  <pageMargins left="0.94488188976377963" right="0.74803149606299213" top="2.5590551181102366" bottom="0.98425196850393704"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4"/>
  <sheetViews>
    <sheetView showGridLines="0" topLeftCell="A4" workbookViewId="0">
      <selection activeCell="L6" sqref="L6"/>
    </sheetView>
  </sheetViews>
  <sheetFormatPr defaultRowHeight="13.2" x14ac:dyDescent="0.25"/>
  <cols>
    <col min="1" max="1" width="0.88671875" customWidth="1"/>
    <col min="2" max="2" width="50.109375" customWidth="1"/>
    <col min="3" max="3" width="1.33203125" customWidth="1"/>
    <col min="4" max="4" width="4.33203125" customWidth="1"/>
    <col min="5" max="6" width="12.44140625" customWidth="1"/>
  </cols>
  <sheetData>
    <row r="1" spans="2:6" x14ac:dyDescent="0.25">
      <c r="B1" s="399" t="s">
        <v>441</v>
      </c>
      <c r="C1" s="399"/>
      <c r="D1" s="406"/>
      <c r="E1" s="406"/>
      <c r="F1" s="406"/>
    </row>
    <row r="2" spans="2:6" x14ac:dyDescent="0.25">
      <c r="B2" s="399" t="s">
        <v>442</v>
      </c>
      <c r="C2" s="399"/>
      <c r="D2" s="406"/>
      <c r="E2" s="406"/>
      <c r="F2" s="406"/>
    </row>
    <row r="3" spans="2:6" x14ac:dyDescent="0.25">
      <c r="B3" s="400"/>
      <c r="C3" s="400"/>
      <c r="D3" s="407"/>
      <c r="E3" s="407"/>
      <c r="F3" s="407"/>
    </row>
    <row r="4" spans="2:6" ht="39.6" x14ac:dyDescent="0.25">
      <c r="B4" s="400" t="s">
        <v>443</v>
      </c>
      <c r="C4" s="400"/>
      <c r="D4" s="407"/>
      <c r="E4" s="407"/>
      <c r="F4" s="407"/>
    </row>
    <row r="5" spans="2:6" x14ac:dyDescent="0.25">
      <c r="B5" s="400"/>
      <c r="C5" s="400"/>
      <c r="D5" s="407"/>
      <c r="E5" s="407"/>
      <c r="F5" s="407"/>
    </row>
    <row r="6" spans="2:6" ht="26.4" x14ac:dyDescent="0.25">
      <c r="B6" s="399" t="s">
        <v>444</v>
      </c>
      <c r="C6" s="399"/>
      <c r="D6" s="406"/>
      <c r="E6" s="406" t="s">
        <v>445</v>
      </c>
      <c r="F6" s="406" t="s">
        <v>446</v>
      </c>
    </row>
    <row r="7" spans="2:6" ht="13.8" thickBot="1" x14ac:dyDescent="0.3">
      <c r="B7" s="400"/>
      <c r="C7" s="400"/>
      <c r="D7" s="407"/>
      <c r="E7" s="407"/>
      <c r="F7" s="407"/>
    </row>
    <row r="8" spans="2:6" ht="39.6" x14ac:dyDescent="0.25">
      <c r="B8" s="401" t="s">
        <v>447</v>
      </c>
      <c r="C8" s="402"/>
      <c r="D8" s="408"/>
      <c r="E8" s="408">
        <v>3</v>
      </c>
      <c r="F8" s="409"/>
    </row>
    <row r="9" spans="2:6" ht="30.6" x14ac:dyDescent="0.25">
      <c r="B9" s="403"/>
      <c r="C9" s="400"/>
      <c r="D9" s="407"/>
      <c r="E9" s="410" t="s">
        <v>448</v>
      </c>
      <c r="F9" s="411" t="s">
        <v>449</v>
      </c>
    </row>
    <row r="10" spans="2:6" ht="26.4" x14ac:dyDescent="0.25">
      <c r="B10" s="403"/>
      <c r="C10" s="400"/>
      <c r="D10" s="407"/>
      <c r="E10" s="410" t="s">
        <v>450</v>
      </c>
      <c r="F10" s="411" t="s">
        <v>449</v>
      </c>
    </row>
    <row r="11" spans="2:6" ht="27" thickBot="1" x14ac:dyDescent="0.3">
      <c r="B11" s="404"/>
      <c r="C11" s="405"/>
      <c r="D11" s="412"/>
      <c r="E11" s="413" t="s">
        <v>451</v>
      </c>
      <c r="F11" s="414" t="s">
        <v>449</v>
      </c>
    </row>
    <row r="12" spans="2:6" ht="13.8" thickBot="1" x14ac:dyDescent="0.3">
      <c r="B12" s="400"/>
      <c r="C12" s="400"/>
      <c r="D12" s="407"/>
      <c r="E12" s="407"/>
      <c r="F12" s="407"/>
    </row>
    <row r="13" spans="2:6" ht="39.6" x14ac:dyDescent="0.25">
      <c r="B13" s="401" t="s">
        <v>452</v>
      </c>
      <c r="C13" s="402"/>
      <c r="D13" s="408"/>
      <c r="E13" s="408">
        <v>4</v>
      </c>
      <c r="F13" s="409"/>
    </row>
    <row r="14" spans="2:6" ht="26.4" x14ac:dyDescent="0.25">
      <c r="B14" s="403"/>
      <c r="C14" s="400"/>
      <c r="D14" s="407"/>
      <c r="E14" s="410" t="s">
        <v>453</v>
      </c>
      <c r="F14" s="411" t="s">
        <v>449</v>
      </c>
    </row>
    <row r="15" spans="2:6" x14ac:dyDescent="0.25">
      <c r="B15" s="403"/>
      <c r="C15" s="400"/>
      <c r="D15" s="407"/>
      <c r="E15" s="410" t="s">
        <v>454</v>
      </c>
      <c r="F15" s="411"/>
    </row>
    <row r="16" spans="2:6" ht="20.399999999999999" x14ac:dyDescent="0.25">
      <c r="B16" s="403"/>
      <c r="C16" s="400"/>
      <c r="D16" s="407"/>
      <c r="E16" s="410" t="s">
        <v>455</v>
      </c>
      <c r="F16" s="411"/>
    </row>
    <row r="17" spans="2:6" ht="13.8" thickBot="1" x14ac:dyDescent="0.3">
      <c r="B17" s="404"/>
      <c r="C17" s="405"/>
      <c r="D17" s="412"/>
      <c r="E17" s="413" t="s">
        <v>456</v>
      </c>
      <c r="F17" s="414"/>
    </row>
    <row r="18" spans="2:6" x14ac:dyDescent="0.25">
      <c r="B18" s="400"/>
      <c r="C18" s="400"/>
      <c r="D18" s="407"/>
      <c r="E18" s="407"/>
      <c r="F18" s="407"/>
    </row>
    <row r="19" spans="2:6" x14ac:dyDescent="0.25">
      <c r="B19" s="400"/>
      <c r="C19" s="400"/>
      <c r="D19" s="407"/>
      <c r="E19" s="407"/>
      <c r="F19" s="407"/>
    </row>
    <row r="20" spans="2:6" x14ac:dyDescent="0.25">
      <c r="B20" s="399" t="s">
        <v>457</v>
      </c>
      <c r="C20" s="399"/>
      <c r="D20" s="406"/>
      <c r="E20" s="406"/>
      <c r="F20" s="406"/>
    </row>
    <row r="21" spans="2:6" ht="13.8" thickBot="1" x14ac:dyDescent="0.3">
      <c r="B21" s="400"/>
      <c r="C21" s="400"/>
      <c r="D21" s="407"/>
      <c r="E21" s="407"/>
      <c r="F21" s="407"/>
    </row>
    <row r="22" spans="2:6" ht="52.8" x14ac:dyDescent="0.25">
      <c r="B22" s="401" t="s">
        <v>458</v>
      </c>
      <c r="C22" s="402"/>
      <c r="D22" s="408"/>
      <c r="E22" s="408">
        <v>1</v>
      </c>
      <c r="F22" s="409"/>
    </row>
    <row r="23" spans="2:6" ht="31.2" thickBot="1" x14ac:dyDescent="0.3">
      <c r="B23" s="404"/>
      <c r="C23" s="405"/>
      <c r="D23" s="412"/>
      <c r="E23" s="413" t="s">
        <v>448</v>
      </c>
      <c r="F23" s="414" t="s">
        <v>449</v>
      </c>
    </row>
    <row r="24" spans="2:6" x14ac:dyDescent="0.25">
      <c r="B24" s="400"/>
      <c r="C24" s="400"/>
      <c r="D24" s="407"/>
      <c r="E24" s="407"/>
      <c r="F24" s="407"/>
    </row>
  </sheetData>
  <hyperlinks>
    <hyperlink ref="E9" location="'Cost of Attendance'!A1:AF107" display="'Cost of Attendance'!A1:AF107" xr:uid="{00000000-0004-0000-0700-000000000000}"/>
    <hyperlink ref="E10" location="'Visa Letter'!A1:G66" display="'Visa Letter'!A1:G66" xr:uid="{00000000-0004-0000-0700-000001000000}"/>
    <hyperlink ref="E11" location="'Private Loan Letter'!A1:G58" display="'Private Loan Letter'!A1:G58" xr:uid="{00000000-0004-0000-0700-000002000000}"/>
    <hyperlink ref="E14" location="'Checklist'!B16:B18" display="'Checklist'!B16:B18" xr:uid="{00000000-0004-0000-0700-000003000000}"/>
    <hyperlink ref="E15" location="'Checklist'!B7:B12" display="'Checklist'!B7:B12" xr:uid="{00000000-0004-0000-0700-000004000000}"/>
    <hyperlink ref="E16" location="'Checklist'!B21:B24" display="'Checklist'!B21:B24" xr:uid="{00000000-0004-0000-0700-000005000000}"/>
    <hyperlink ref="E17" location="'Checklist'!B27" display="'Checklist'!B27" xr:uid="{00000000-0004-0000-0700-000006000000}"/>
    <hyperlink ref="E23" location="'Cost of Attendance'!A1:AF107" display="'Cost of Attendance'!A1:AF107" xr:uid="{00000000-0004-0000-0700-00000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Cost of Attendance</vt:lpstr>
      <vt:lpstr>School DATA</vt:lpstr>
      <vt:lpstr>Visa Letter</vt:lpstr>
      <vt:lpstr>Checklist</vt:lpstr>
      <vt:lpstr>Basis of Costs</vt:lpstr>
      <vt:lpstr>Private Loan Letter</vt:lpstr>
      <vt:lpstr>Compatibility Report</vt:lpstr>
      <vt:lpstr>'Cost of Attendance'!Print_Area</vt:lpstr>
      <vt:lpstr>'Visa Letter'!Print_Area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Ryan</dc:creator>
  <dc:description/>
  <cp:lastModifiedBy>Joanne Ryan</cp:lastModifiedBy>
  <cp:lastPrinted>2020-05-12T12:30:04Z</cp:lastPrinted>
  <dcterms:created xsi:type="dcterms:W3CDTF">2009-04-02T10:59:38Z</dcterms:created>
  <dcterms:modified xsi:type="dcterms:W3CDTF">2023-06-01T13:55:36Z</dcterms:modified>
</cp:coreProperties>
</file>